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202300"/>
  <mc:AlternateContent xmlns:mc="http://schemas.openxmlformats.org/markup-compatibility/2006">
    <mc:Choice Requires="x15">
      <x15ac:absPath xmlns:x15ac="http://schemas.microsoft.com/office/spreadsheetml/2010/11/ac" url="/Users/annielim/Library/CloudStorage/Dropbox/Results HRP/"/>
    </mc:Choice>
  </mc:AlternateContent>
  <xr:revisionPtr revIDLastSave="0" documentId="13_ncr:1_{D9065416-FAC4-C145-B655-A04BD7AD3B37}" xr6:coauthVersionLast="47" xr6:coauthVersionMax="47" xr10:uidLastSave="{00000000-0000-0000-0000-000000000000}"/>
  <bookViews>
    <workbookView xWindow="0" yWindow="500" windowWidth="28800" windowHeight="16220" xr2:uid="{28BE55FE-914C-1D49-A1FF-4ED519FFA50B}"/>
  </bookViews>
  <sheets>
    <sheet name="DATA INPUT" sheetId="1" r:id="rId1"/>
    <sheet name="Sheet2" sheetId="2" r:id="rId2"/>
    <sheet name="Analysis" sheetId="3" r:id="rId3"/>
    <sheet name="Weekly Profit" sheetId="4" r:id="rId4"/>
  </sheets>
  <definedNames>
    <definedName name="_xlnm._FilterDatabase" localSheetId="0" hidden="1">'DATA INPUT'!$A$2:$BE$316</definedName>
    <definedName name="_xlnm._FilterDatabase" localSheetId="1" hidden="1">Sheet2!$A$1:$J$567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314" i="1" l="1"/>
  <c r="AW314" i="1"/>
  <c r="AZ314" i="1"/>
  <c r="BB314" i="1"/>
  <c r="BF314" i="1" a="1"/>
  <c r="AV315" i="1"/>
  <c r="AW315" i="1"/>
  <c r="AZ315" i="1"/>
  <c r="BB315" i="1"/>
  <c r="BC314" i="1" s="1"/>
  <c r="BF315" i="1" a="1"/>
  <c r="AV316" i="1"/>
  <c r="AW316" i="1"/>
  <c r="AZ316" i="1"/>
  <c r="BB316" i="1"/>
  <c r="BC315" i="1" s="1"/>
  <c r="BC316" i="1"/>
  <c r="BF316" i="1" a="1"/>
  <c r="T313" i="1"/>
  <c r="T314" i="1"/>
  <c r="T315" i="1"/>
  <c r="T316" i="1"/>
  <c r="T312" i="1"/>
  <c r="T311" i="1"/>
  <c r="T309" i="1"/>
  <c r="T310" i="1"/>
  <c r="T308" i="1"/>
  <c r="T307" i="1"/>
  <c r="T306" i="1"/>
  <c r="AV305" i="1"/>
  <c r="AW305" i="1"/>
  <c r="AZ305" i="1"/>
  <c r="BB305" i="1"/>
  <c r="BF305" i="1" a="1"/>
  <c r="AV306" i="1"/>
  <c r="AW306" i="1"/>
  <c r="AZ306" i="1"/>
  <c r="BB306" i="1"/>
  <c r="BC306" i="1" s="1"/>
  <c r="BF306" i="1" a="1"/>
  <c r="AV307" i="1"/>
  <c r="AW307" i="1"/>
  <c r="AZ307" i="1"/>
  <c r="BB307" i="1"/>
  <c r="BC307" i="1"/>
  <c r="BF307" i="1" a="1"/>
  <c r="AV308" i="1"/>
  <c r="AW308" i="1"/>
  <c r="AZ308" i="1"/>
  <c r="BB308" i="1"/>
  <c r="BC308" i="1"/>
  <c r="BF308" i="1" a="1"/>
  <c r="AV309" i="1"/>
  <c r="AW309" i="1"/>
  <c r="AZ309" i="1"/>
  <c r="BB309" i="1"/>
  <c r="BC310" i="1" s="1"/>
  <c r="BF309" i="1" a="1"/>
  <c r="AV310" i="1"/>
  <c r="AW310" i="1"/>
  <c r="AZ310" i="1"/>
  <c r="BB310" i="1"/>
  <c r="BF310" i="1" a="1"/>
  <c r="AV311" i="1"/>
  <c r="AW311" i="1"/>
  <c r="AZ311" i="1"/>
  <c r="BB311" i="1"/>
  <c r="BF311" i="1" a="1"/>
  <c r="AV312" i="1"/>
  <c r="AW312" i="1"/>
  <c r="AZ312" i="1"/>
  <c r="BB312" i="1"/>
  <c r="BC312" i="1" s="1"/>
  <c r="BF312" i="1" a="1"/>
  <c r="AV313" i="1"/>
  <c r="AW313" i="1"/>
  <c r="AZ313" i="1"/>
  <c r="BB313" i="1"/>
  <c r="BC313" i="1" s="1"/>
  <c r="BF313" i="1" a="1"/>
  <c r="T305" i="1"/>
  <c r="AV300" i="1"/>
  <c r="AW300" i="1"/>
  <c r="AZ300" i="1"/>
  <c r="BB300" i="1"/>
  <c r="BC300" i="1" s="1"/>
  <c r="BF300" i="1" a="1"/>
  <c r="AV301" i="1"/>
  <c r="AW301" i="1"/>
  <c r="AZ301" i="1"/>
  <c r="BB301" i="1"/>
  <c r="BF301" i="1" a="1"/>
  <c r="AV302" i="1"/>
  <c r="AW302" i="1"/>
  <c r="AZ302" i="1"/>
  <c r="BB302" i="1"/>
  <c r="BF302" i="1" a="1"/>
  <c r="AV303" i="1"/>
  <c r="AW303" i="1"/>
  <c r="AZ303" i="1"/>
  <c r="BB303" i="1"/>
  <c r="BF303" i="1" a="1"/>
  <c r="AV304" i="1"/>
  <c r="AW304" i="1"/>
  <c r="AZ304" i="1"/>
  <c r="BB304" i="1"/>
  <c r="BF304" i="1" a="1"/>
  <c r="T301" i="1"/>
  <c r="T302" i="1"/>
  <c r="T303" i="1"/>
  <c r="T304" i="1"/>
  <c r="T300" i="1"/>
  <c r="T299" i="1"/>
  <c r="T298" i="1"/>
  <c r="AV295" i="1"/>
  <c r="AW295" i="1"/>
  <c r="AZ295" i="1"/>
  <c r="BB295" i="1"/>
  <c r="BC295" i="1" s="1"/>
  <c r="BF295" i="1" a="1"/>
  <c r="AV296" i="1"/>
  <c r="AW296" i="1"/>
  <c r="AZ296" i="1"/>
  <c r="BB296" i="1"/>
  <c r="BC296" i="1" s="1"/>
  <c r="BF296" i="1" a="1"/>
  <c r="AV297" i="1"/>
  <c r="AW297" i="1"/>
  <c r="AZ297" i="1"/>
  <c r="BB297" i="1"/>
  <c r="BC297" i="1" s="1"/>
  <c r="BF297" i="1" a="1"/>
  <c r="AV298" i="1"/>
  <c r="AW298" i="1"/>
  <c r="AZ298" i="1"/>
  <c r="BB298" i="1"/>
  <c r="BC298" i="1" s="1"/>
  <c r="BF298" i="1" a="1"/>
  <c r="AV299" i="1"/>
  <c r="AW299" i="1"/>
  <c r="AZ299" i="1"/>
  <c r="BB299" i="1"/>
  <c r="BC299" i="1" s="1"/>
  <c r="BF299" i="1" a="1"/>
  <c r="T295" i="1"/>
  <c r="T296" i="1"/>
  <c r="T297" i="1"/>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AV290" i="1"/>
  <c r="AW290" i="1"/>
  <c r="AZ290" i="1"/>
  <c r="BB290" i="1"/>
  <c r="BC290" i="1"/>
  <c r="BF290" i="1" a="1"/>
  <c r="AV291" i="1"/>
  <c r="AW291" i="1"/>
  <c r="AZ291" i="1"/>
  <c r="BB291" i="1"/>
  <c r="BC291" i="1" s="1"/>
  <c r="BF291" i="1" a="1"/>
  <c r="AV292" i="1"/>
  <c r="AW292" i="1"/>
  <c r="AZ292" i="1"/>
  <c r="BB292" i="1"/>
  <c r="BC292" i="1" s="1"/>
  <c r="BF292" i="1" a="1"/>
  <c r="AV293" i="1"/>
  <c r="AW293" i="1"/>
  <c r="AZ293" i="1"/>
  <c r="BB293" i="1"/>
  <c r="BF293" i="1" a="1"/>
  <c r="AV294" i="1"/>
  <c r="AW294" i="1"/>
  <c r="AZ294" i="1"/>
  <c r="BB294" i="1"/>
  <c r="BC294" i="1"/>
  <c r="BF294" i="1" a="1"/>
  <c r="T290" i="1"/>
  <c r="T291" i="1"/>
  <c r="T292" i="1"/>
  <c r="T293" i="1"/>
  <c r="T294" i="1"/>
  <c r="J530" i="2"/>
  <c r="J531" i="2"/>
  <c r="J532" i="2"/>
  <c r="J533" i="2"/>
  <c r="J534" i="2"/>
  <c r="AW189" i="1"/>
  <c r="AV5" i="1"/>
  <c r="AV6" i="1"/>
  <c r="AV7" i="1"/>
  <c r="AV8" i="1"/>
  <c r="AV9" i="1"/>
  <c r="AV10"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1" i="1"/>
  <c r="AV112" i="1"/>
  <c r="AV113" i="1"/>
  <c r="AV114" i="1"/>
  <c r="AV115" i="1"/>
  <c r="AV116" i="1"/>
  <c r="AV117" i="1"/>
  <c r="AV118" i="1"/>
  <c r="AV119" i="1"/>
  <c r="AV120" i="1"/>
  <c r="AV121" i="1"/>
  <c r="AV122" i="1"/>
  <c r="AV123" i="1"/>
  <c r="AV124" i="1"/>
  <c r="AV125" i="1"/>
  <c r="AV126" i="1"/>
  <c r="AV127" i="1"/>
  <c r="AV128" i="1"/>
  <c r="AV129" i="1"/>
  <c r="AV130" i="1"/>
  <c r="AV131" i="1"/>
  <c r="AV132" i="1"/>
  <c r="AV133" i="1"/>
  <c r="AV134" i="1"/>
  <c r="AV135" i="1"/>
  <c r="AV136" i="1"/>
  <c r="AV137" i="1"/>
  <c r="AV138" i="1"/>
  <c r="AV139" i="1"/>
  <c r="AV140" i="1"/>
  <c r="AV141" i="1"/>
  <c r="AV142" i="1"/>
  <c r="AV143" i="1"/>
  <c r="AV144" i="1"/>
  <c r="AV145" i="1"/>
  <c r="AV146" i="1"/>
  <c r="AV147" i="1"/>
  <c r="AV148" i="1"/>
  <c r="AV149" i="1"/>
  <c r="AV150" i="1"/>
  <c r="AV151" i="1"/>
  <c r="AV152" i="1"/>
  <c r="AV153" i="1"/>
  <c r="AV154" i="1"/>
  <c r="AV155" i="1"/>
  <c r="AV156" i="1"/>
  <c r="AV157" i="1"/>
  <c r="AV158" i="1"/>
  <c r="AV159" i="1"/>
  <c r="AV160" i="1"/>
  <c r="AV161" i="1"/>
  <c r="AV162" i="1"/>
  <c r="AV163" i="1"/>
  <c r="AV164" i="1"/>
  <c r="AV165" i="1"/>
  <c r="AV166" i="1"/>
  <c r="AV167" i="1"/>
  <c r="AV168" i="1"/>
  <c r="AV169" i="1"/>
  <c r="AV170" i="1"/>
  <c r="AV171" i="1"/>
  <c r="AV172" i="1"/>
  <c r="AV173" i="1"/>
  <c r="AV174" i="1"/>
  <c r="AV175" i="1"/>
  <c r="AV176" i="1"/>
  <c r="AV177" i="1"/>
  <c r="AV178" i="1"/>
  <c r="AV179" i="1"/>
  <c r="AV180" i="1"/>
  <c r="AV181" i="1"/>
  <c r="AV182" i="1"/>
  <c r="AV183" i="1"/>
  <c r="AV184" i="1"/>
  <c r="AV185" i="1"/>
  <c r="AV186" i="1"/>
  <c r="AV187" i="1"/>
  <c r="AV188" i="1"/>
  <c r="AV189" i="1"/>
  <c r="AV190" i="1"/>
  <c r="AV191" i="1"/>
  <c r="AV192" i="1"/>
  <c r="AV193" i="1"/>
  <c r="AV194" i="1"/>
  <c r="AV195" i="1"/>
  <c r="AV196" i="1"/>
  <c r="AV197" i="1"/>
  <c r="AV198" i="1"/>
  <c r="AV199" i="1"/>
  <c r="AV200" i="1"/>
  <c r="AV201" i="1"/>
  <c r="AV202" i="1"/>
  <c r="AV203" i="1"/>
  <c r="AV204" i="1"/>
  <c r="AV205" i="1"/>
  <c r="AV206" i="1"/>
  <c r="AV207" i="1"/>
  <c r="AV208" i="1"/>
  <c r="AV209" i="1"/>
  <c r="AV210" i="1"/>
  <c r="AV211" i="1"/>
  <c r="AV212" i="1"/>
  <c r="AV213" i="1"/>
  <c r="AV214" i="1"/>
  <c r="AV215" i="1"/>
  <c r="AV216" i="1"/>
  <c r="AV217" i="1"/>
  <c r="AV218" i="1"/>
  <c r="AV219" i="1"/>
  <c r="AV220" i="1"/>
  <c r="AV221" i="1"/>
  <c r="AV222" i="1"/>
  <c r="AV223" i="1"/>
  <c r="AV224" i="1"/>
  <c r="AV225" i="1"/>
  <c r="AV226" i="1"/>
  <c r="AV227" i="1"/>
  <c r="AV228" i="1"/>
  <c r="AV229" i="1"/>
  <c r="AV230" i="1"/>
  <c r="AV231" i="1"/>
  <c r="AV232" i="1"/>
  <c r="AV233" i="1"/>
  <c r="AV234" i="1"/>
  <c r="AV235" i="1"/>
  <c r="AV236" i="1"/>
  <c r="AV237" i="1"/>
  <c r="AV238" i="1"/>
  <c r="AV239" i="1"/>
  <c r="AV240" i="1"/>
  <c r="AV241" i="1"/>
  <c r="AV242" i="1"/>
  <c r="AV243" i="1"/>
  <c r="AV244" i="1"/>
  <c r="AV245" i="1"/>
  <c r="AV246" i="1"/>
  <c r="AV247" i="1"/>
  <c r="AV248" i="1"/>
  <c r="AV249" i="1"/>
  <c r="AV250" i="1"/>
  <c r="AV251" i="1"/>
  <c r="AV252" i="1"/>
  <c r="AV253" i="1"/>
  <c r="AV254" i="1"/>
  <c r="AV255" i="1"/>
  <c r="AV256" i="1"/>
  <c r="AV257" i="1"/>
  <c r="AV258" i="1"/>
  <c r="AV259" i="1"/>
  <c r="AV260" i="1"/>
  <c r="AV261" i="1"/>
  <c r="AV262" i="1"/>
  <c r="AV263" i="1"/>
  <c r="AV264" i="1"/>
  <c r="AV265" i="1"/>
  <c r="AV266" i="1"/>
  <c r="AV267" i="1"/>
  <c r="AV268" i="1"/>
  <c r="AV269" i="1"/>
  <c r="AV270" i="1"/>
  <c r="AV271" i="1"/>
  <c r="AV272" i="1"/>
  <c r="AV273" i="1"/>
  <c r="AV274" i="1"/>
  <c r="AV275" i="1"/>
  <c r="AV276" i="1"/>
  <c r="AV277" i="1"/>
  <c r="AV278" i="1"/>
  <c r="AV279" i="1"/>
  <c r="AV280" i="1"/>
  <c r="AV281" i="1"/>
  <c r="AV282" i="1"/>
  <c r="AV283" i="1"/>
  <c r="AV284" i="1"/>
  <c r="AV285" i="1"/>
  <c r="AV286" i="1"/>
  <c r="AV287" i="1"/>
  <c r="AV288" i="1"/>
  <c r="AV289" i="1"/>
  <c r="AV4" i="1"/>
  <c r="AV3" i="1"/>
  <c r="T289" i="1"/>
  <c r="AW289" i="1"/>
  <c r="AZ289" i="1"/>
  <c r="BB289" i="1"/>
  <c r="BC289" i="1" s="1"/>
  <c r="BF289" i="1" a="1"/>
  <c r="BB287" i="1"/>
  <c r="BF287" i="1" a="1"/>
  <c r="BB288" i="1"/>
  <c r="BF288" i="1" a="1"/>
  <c r="T287" i="1"/>
  <c r="T288" i="1"/>
  <c r="AW288" i="1"/>
  <c r="AZ288" i="1"/>
  <c r="AW287" i="1"/>
  <c r="AZ287" i="1"/>
  <c r="J523" i="2"/>
  <c r="J524" i="2"/>
  <c r="J525" i="2"/>
  <c r="J526" i="2"/>
  <c r="J527" i="2"/>
  <c r="J528" i="2"/>
  <c r="J529" i="2"/>
  <c r="AW283" i="1"/>
  <c r="AZ283" i="1"/>
  <c r="BB283" i="1"/>
  <c r="BF283" i="1" a="1"/>
  <c r="AW284" i="1"/>
  <c r="AZ284" i="1"/>
  <c r="BB284" i="1"/>
  <c r="BF284" i="1" a="1"/>
  <c r="AW285" i="1"/>
  <c r="AZ285" i="1"/>
  <c r="BB285" i="1"/>
  <c r="BF285" i="1" a="1"/>
  <c r="AW286" i="1"/>
  <c r="AZ286" i="1"/>
  <c r="BB286" i="1"/>
  <c r="BF286" i="1" a="1"/>
  <c r="T283" i="1"/>
  <c r="T284" i="1"/>
  <c r="T285" i="1"/>
  <c r="T286" i="1"/>
  <c r="J517" i="2"/>
  <c r="J518" i="2"/>
  <c r="J519" i="2"/>
  <c r="J520" i="2"/>
  <c r="J521" i="2"/>
  <c r="J522" i="2"/>
  <c r="T281" i="1"/>
  <c r="AW281" i="1"/>
  <c r="AZ281" i="1"/>
  <c r="BB281" i="1"/>
  <c r="BF281" i="1" a="1"/>
  <c r="T282" i="1"/>
  <c r="AW282" i="1"/>
  <c r="AZ282" i="1"/>
  <c r="BB282" i="1"/>
  <c r="BF282" i="1" a="1"/>
  <c r="T280" i="1"/>
  <c r="AW280" i="1"/>
  <c r="AZ280" i="1"/>
  <c r="BB280" i="1"/>
  <c r="BC280" i="1" s="1"/>
  <c r="BD280" i="1" s="1"/>
  <c r="BF280" i="1" a="1"/>
  <c r="T279" i="1"/>
  <c r="AW279" i="1"/>
  <c r="AZ279" i="1"/>
  <c r="BB279" i="1"/>
  <c r="BC279" i="1" s="1"/>
  <c r="BD279" i="1" s="1"/>
  <c r="BF279" i="1" a="1"/>
  <c r="T275" i="1"/>
  <c r="AW275" i="1"/>
  <c r="AZ275" i="1"/>
  <c r="BB275" i="1"/>
  <c r="BF275" i="1" a="1"/>
  <c r="T276" i="1"/>
  <c r="AW276" i="1"/>
  <c r="AZ276" i="1"/>
  <c r="BB276" i="1"/>
  <c r="BF276" i="1" a="1"/>
  <c r="T277" i="1"/>
  <c r="AW277" i="1"/>
  <c r="AZ277" i="1"/>
  <c r="BB277" i="1"/>
  <c r="BF277" i="1" a="1"/>
  <c r="T278" i="1"/>
  <c r="AW278" i="1"/>
  <c r="AZ278" i="1"/>
  <c r="BB278" i="1"/>
  <c r="BF278" i="1" a="1"/>
  <c r="T273" i="1"/>
  <c r="AW273" i="1"/>
  <c r="AZ273" i="1"/>
  <c r="BB273" i="1"/>
  <c r="BF273" i="1" a="1"/>
  <c r="T274" i="1"/>
  <c r="AW274" i="1"/>
  <c r="AZ274" i="1"/>
  <c r="BB274" i="1"/>
  <c r="BF274" i="1" a="1"/>
  <c r="T272" i="1"/>
  <c r="AW272" i="1"/>
  <c r="AZ272" i="1"/>
  <c r="BB272" i="1"/>
  <c r="BC272" i="1" s="1"/>
  <c r="BD272" i="1" s="1"/>
  <c r="BF272" i="1" a="1"/>
  <c r="T270" i="1"/>
  <c r="AW270" i="1"/>
  <c r="AZ270" i="1"/>
  <c r="BB270" i="1"/>
  <c r="BF270" i="1" a="1"/>
  <c r="T271" i="1"/>
  <c r="AW271" i="1"/>
  <c r="AZ271" i="1"/>
  <c r="BB271" i="1"/>
  <c r="BF271" i="1" a="1"/>
  <c r="T268" i="1"/>
  <c r="AW268" i="1"/>
  <c r="AZ268" i="1"/>
  <c r="BB268" i="1"/>
  <c r="BF268" i="1" a="1"/>
  <c r="T269" i="1"/>
  <c r="AW269" i="1"/>
  <c r="AZ269" i="1"/>
  <c r="BB269" i="1"/>
  <c r="BF269" i="1" a="1"/>
  <c r="T267" i="1"/>
  <c r="AW267" i="1"/>
  <c r="AZ267" i="1"/>
  <c r="BB267" i="1"/>
  <c r="BC267" i="1" s="1"/>
  <c r="BD267" i="1" s="1"/>
  <c r="BF267" i="1" a="1"/>
  <c r="T266" i="1"/>
  <c r="AW266" i="1"/>
  <c r="AZ266" i="1"/>
  <c r="BB266" i="1"/>
  <c r="BC266" i="1" s="1"/>
  <c r="BD266" i="1" s="1"/>
  <c r="BF266" i="1" a="1"/>
  <c r="T263" i="1"/>
  <c r="AW263" i="1"/>
  <c r="AZ263" i="1"/>
  <c r="BB263" i="1"/>
  <c r="BF263" i="1" a="1"/>
  <c r="T264" i="1"/>
  <c r="AW264" i="1"/>
  <c r="AZ264" i="1"/>
  <c r="BB264" i="1"/>
  <c r="BF264" i="1" a="1"/>
  <c r="T265" i="1"/>
  <c r="AW265" i="1"/>
  <c r="AZ265" i="1"/>
  <c r="BB265" i="1"/>
  <c r="BF265" i="1" a="1"/>
  <c r="T262" i="1"/>
  <c r="AW262" i="1"/>
  <c r="AZ262" i="1"/>
  <c r="BB262" i="1"/>
  <c r="BC262" i="1" s="1"/>
  <c r="BE262" i="1" s="1"/>
  <c r="U262" i="1" s="1"/>
  <c r="BF262" i="1" a="1"/>
  <c r="T261" i="1"/>
  <c r="AW261" i="1"/>
  <c r="AZ261" i="1"/>
  <c r="BB261" i="1"/>
  <c r="BC261" i="1" s="1"/>
  <c r="BD261" i="1" s="1"/>
  <c r="BF261" i="1" a="1"/>
  <c r="AW260" i="1"/>
  <c r="AZ260" i="1"/>
  <c r="BB260" i="1"/>
  <c r="BC260" i="1" s="1"/>
  <c r="BD260" i="1" s="1"/>
  <c r="BF260" i="1" a="1"/>
  <c r="T260" i="1"/>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AW253" i="1"/>
  <c r="AZ253" i="1"/>
  <c r="BB253" i="1"/>
  <c r="BF253" i="1" a="1"/>
  <c r="AW254" i="1"/>
  <c r="AZ254" i="1"/>
  <c r="BB254" i="1"/>
  <c r="BF254" i="1" a="1"/>
  <c r="AW255" i="1"/>
  <c r="AZ255" i="1"/>
  <c r="BB255" i="1"/>
  <c r="BC255" i="1" s="1"/>
  <c r="BD255" i="1" s="1"/>
  <c r="BE255" i="1" s="1"/>
  <c r="U255" i="1" s="1"/>
  <c r="BF255" i="1" a="1"/>
  <c r="AW256" i="1"/>
  <c r="AZ256" i="1"/>
  <c r="BB256" i="1"/>
  <c r="BC256" i="1" s="1"/>
  <c r="BD256" i="1" s="1"/>
  <c r="BF256" i="1" a="1"/>
  <c r="AW257" i="1"/>
  <c r="AZ257" i="1"/>
  <c r="BB257" i="1"/>
  <c r="BC258" i="1" s="1"/>
  <c r="BE258" i="1" s="1"/>
  <c r="U258" i="1" s="1"/>
  <c r="BF257" i="1" a="1"/>
  <c r="AW258" i="1"/>
  <c r="AZ258" i="1"/>
  <c r="BB258" i="1"/>
  <c r="BF258" i="1" a="1"/>
  <c r="AW259" i="1"/>
  <c r="AZ259" i="1"/>
  <c r="BB259" i="1"/>
  <c r="BC259" i="1" s="1"/>
  <c r="BF259" i="1" a="1"/>
  <c r="T253" i="1"/>
  <c r="T254" i="1"/>
  <c r="T255" i="1"/>
  <c r="T256" i="1"/>
  <c r="T257" i="1"/>
  <c r="T258" i="1"/>
  <c r="T259" i="1"/>
  <c r="J476" i="2"/>
  <c r="J475" i="2"/>
  <c r="J474" i="2"/>
  <c r="J473" i="2"/>
  <c r="J472" i="2"/>
  <c r="J471" i="2"/>
  <c r="J470" i="2"/>
  <c r="J469" i="2"/>
  <c r="J468" i="2"/>
  <c r="J467" i="2"/>
  <c r="J466" i="2"/>
  <c r="J465" i="2"/>
  <c r="J464" i="2"/>
  <c r="J463" i="2"/>
  <c r="J462" i="2"/>
  <c r="J461" i="2"/>
  <c r="BF248" i="1" a="1"/>
  <c r="BF249" i="1" a="1"/>
  <c r="BF250" i="1" a="1"/>
  <c r="BF251" i="1" a="1"/>
  <c r="BF252" i="1" a="1"/>
  <c r="BF226" i="1" a="1"/>
  <c r="BF227" i="1" a="1"/>
  <c r="BF228" i="1" a="1"/>
  <c r="BF229" i="1" a="1"/>
  <c r="BF230" i="1" a="1"/>
  <c r="BF231" i="1" a="1"/>
  <c r="BF232" i="1" a="1"/>
  <c r="BF233" i="1" a="1"/>
  <c r="BF234" i="1" a="1"/>
  <c r="BF235" i="1" a="1"/>
  <c r="BF236" i="1" a="1"/>
  <c r="BF237" i="1" a="1"/>
  <c r="BF238" i="1" a="1"/>
  <c r="BF239" i="1" a="1"/>
  <c r="BF240" i="1" a="1"/>
  <c r="BF241" i="1" a="1"/>
  <c r="BF242" i="1" a="1"/>
  <c r="BF243" i="1" a="1"/>
  <c r="BF244" i="1" a="1"/>
  <c r="BF245" i="1" a="1"/>
  <c r="BF246" i="1" a="1"/>
  <c r="BF247" i="1" a="1"/>
  <c r="AW226" i="1"/>
  <c r="AZ226" i="1"/>
  <c r="BB226" i="1"/>
  <c r="BC226" i="1" s="1"/>
  <c r="BD226" i="1" s="1"/>
  <c r="AW227" i="1"/>
  <c r="AZ227" i="1"/>
  <c r="BB227" i="1"/>
  <c r="AW228" i="1"/>
  <c r="AZ228" i="1"/>
  <c r="BB228" i="1"/>
  <c r="AW229" i="1"/>
  <c r="AZ229" i="1"/>
  <c r="BB229" i="1"/>
  <c r="AW230" i="1"/>
  <c r="AZ230" i="1"/>
  <c r="BB230" i="1"/>
  <c r="BC230" i="1" s="1"/>
  <c r="AW231" i="1"/>
  <c r="AZ231" i="1"/>
  <c r="BB231" i="1"/>
  <c r="AW232" i="1"/>
  <c r="AZ232" i="1"/>
  <c r="BB232" i="1"/>
  <c r="AW233" i="1"/>
  <c r="AZ233" i="1"/>
  <c r="BB233" i="1"/>
  <c r="AW234" i="1"/>
  <c r="AZ234" i="1"/>
  <c r="BB234" i="1"/>
  <c r="AW235" i="1"/>
  <c r="AZ235" i="1"/>
  <c r="BB235" i="1"/>
  <c r="AW236" i="1"/>
  <c r="AZ236" i="1"/>
  <c r="BB236" i="1"/>
  <c r="AW237" i="1"/>
  <c r="AZ237" i="1"/>
  <c r="BB237" i="1"/>
  <c r="AW238" i="1"/>
  <c r="AZ238" i="1"/>
  <c r="BB238" i="1"/>
  <c r="AW239" i="1"/>
  <c r="AZ239" i="1"/>
  <c r="BB239" i="1"/>
  <c r="AW240" i="1"/>
  <c r="AZ240" i="1"/>
  <c r="BB240" i="1"/>
  <c r="AW241" i="1"/>
  <c r="AZ241" i="1"/>
  <c r="BB241" i="1"/>
  <c r="AW242" i="1"/>
  <c r="AZ242" i="1"/>
  <c r="BB242" i="1"/>
  <c r="AW243" i="1"/>
  <c r="AZ243" i="1"/>
  <c r="BB243" i="1"/>
  <c r="AW244" i="1"/>
  <c r="AZ244" i="1"/>
  <c r="BB244" i="1"/>
  <c r="BC244" i="1" s="1"/>
  <c r="AW245" i="1"/>
  <c r="AZ245" i="1"/>
  <c r="BB245" i="1"/>
  <c r="BC245" i="1" s="1"/>
  <c r="BD245" i="1" s="1"/>
  <c r="AW246" i="1"/>
  <c r="AZ246" i="1"/>
  <c r="BB246" i="1"/>
  <c r="BC246" i="1" s="1"/>
  <c r="BD246" i="1" s="1"/>
  <c r="AW247" i="1"/>
  <c r="AZ247" i="1"/>
  <c r="BB247" i="1"/>
  <c r="AW248" i="1"/>
  <c r="AZ248" i="1"/>
  <c r="BB248" i="1"/>
  <c r="AW249" i="1"/>
  <c r="AZ249" i="1"/>
  <c r="BB249" i="1"/>
  <c r="AW250" i="1"/>
  <c r="AZ250" i="1"/>
  <c r="BB250" i="1"/>
  <c r="AW251" i="1"/>
  <c r="AZ251" i="1"/>
  <c r="BB251" i="1"/>
  <c r="AW252" i="1"/>
  <c r="AZ252" i="1"/>
  <c r="BB252" i="1"/>
  <c r="T251" i="1"/>
  <c r="T252"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BF220" i="1" a="1"/>
  <c r="BF221" i="1" a="1"/>
  <c r="BF222" i="1" a="1"/>
  <c r="BF223" i="1" a="1"/>
  <c r="BF224" i="1" a="1"/>
  <c r="BF225" i="1" a="1"/>
  <c r="AW223" i="1"/>
  <c r="AZ223" i="1"/>
  <c r="BB223" i="1"/>
  <c r="BC223" i="1"/>
  <c r="BD223" i="1" s="1"/>
  <c r="AW224" i="1"/>
  <c r="AZ224" i="1"/>
  <c r="BB224" i="1"/>
  <c r="AW225" i="1"/>
  <c r="AZ225" i="1"/>
  <c r="BB225" i="1"/>
  <c r="T223" i="1"/>
  <c r="T224" i="1"/>
  <c r="T225" i="1"/>
  <c r="AW220" i="1"/>
  <c r="AZ220" i="1"/>
  <c r="BB220" i="1"/>
  <c r="BC220" i="1" s="1"/>
  <c r="BD220" i="1" s="1"/>
  <c r="AW221" i="1"/>
  <c r="AZ221" i="1"/>
  <c r="BB221" i="1"/>
  <c r="AW222" i="1"/>
  <c r="AZ222" i="1"/>
  <c r="BB222" i="1"/>
  <c r="T220" i="1"/>
  <c r="T221" i="1"/>
  <c r="T222" i="1"/>
  <c r="BC268" i="1" l="1"/>
  <c r="BD268" i="1" s="1"/>
  <c r="BC285" i="1"/>
  <c r="BE285" i="1" s="1"/>
  <c r="U285" i="1" s="1"/>
  <c r="BC284" i="1"/>
  <c r="BD284" i="1" s="1"/>
  <c r="BC288" i="1"/>
  <c r="BD288" i="1" s="1"/>
  <c r="BC293" i="1"/>
  <c r="BE293" i="1" s="1"/>
  <c r="U293" i="1" s="1"/>
  <c r="BC286" i="1"/>
  <c r="BD286" i="1" s="1"/>
  <c r="BC287" i="1"/>
  <c r="BD287" i="1" s="1"/>
  <c r="BC282" i="1"/>
  <c r="BD282" i="1" s="1"/>
  <c r="BC302" i="1"/>
  <c r="BC304" i="1"/>
  <c r="BC224" i="1"/>
  <c r="BD224" i="1" s="1"/>
  <c r="BC273" i="1"/>
  <c r="BC281" i="1"/>
  <c r="BD281" i="1" s="1"/>
  <c r="BC311" i="1"/>
  <c r="BD311" i="1" s="1"/>
  <c r="BC283" i="1"/>
  <c r="BD283" i="1" s="1"/>
  <c r="BC301" i="1"/>
  <c r="BD301" i="1" s="1"/>
  <c r="BE301" i="1" s="1"/>
  <c r="U301" i="1" s="1"/>
  <c r="BC303" i="1"/>
  <c r="BE303" i="1" s="1"/>
  <c r="U303" i="1" s="1"/>
  <c r="BC309" i="1"/>
  <c r="BE309" i="1" s="1"/>
  <c r="U309" i="1" s="1"/>
  <c r="BC305" i="1"/>
  <c r="BD305" i="1" s="1"/>
  <c r="BC264" i="1"/>
  <c r="BD264" i="1" s="1"/>
  <c r="BE314" i="1"/>
  <c r="U314" i="1" s="1"/>
  <c r="BD314" i="1"/>
  <c r="BE315" i="1"/>
  <c r="U315" i="1" s="1"/>
  <c r="BD315" i="1"/>
  <c r="BD316" i="1"/>
  <c r="BE316" i="1"/>
  <c r="U316" i="1" s="1"/>
  <c r="BD308" i="1"/>
  <c r="BE308" i="1"/>
  <c r="U308" i="1" s="1"/>
  <c r="BD306" i="1"/>
  <c r="BE306" i="1"/>
  <c r="U306" i="1" s="1"/>
  <c r="BD310" i="1"/>
  <c r="BE310" i="1"/>
  <c r="U310" i="1" s="1"/>
  <c r="BD312" i="1"/>
  <c r="BE312" i="1"/>
  <c r="U312" i="1" s="1"/>
  <c r="BD313" i="1"/>
  <c r="BE313" i="1"/>
  <c r="U313" i="1" s="1"/>
  <c r="BE305" i="1"/>
  <c r="U305" i="1" s="1"/>
  <c r="BD307" i="1"/>
  <c r="BE307" i="1"/>
  <c r="U307" i="1" s="1"/>
  <c r="BD309" i="1"/>
  <c r="BD300" i="1"/>
  <c r="BE300" i="1"/>
  <c r="U300" i="1" s="1"/>
  <c r="BE302" i="1"/>
  <c r="U302" i="1" s="1"/>
  <c r="BD302" i="1"/>
  <c r="BD303" i="1"/>
  <c r="BD304" i="1"/>
  <c r="BE304" i="1"/>
  <c r="U304" i="1" s="1"/>
  <c r="BE298" i="1"/>
  <c r="U298" i="1" s="1"/>
  <c r="BD298" i="1"/>
  <c r="BD299" i="1"/>
  <c r="BE299" i="1"/>
  <c r="U299" i="1" s="1"/>
  <c r="BD295" i="1"/>
  <c r="BE295" i="1"/>
  <c r="U295" i="1" s="1"/>
  <c r="BD296" i="1"/>
  <c r="BE296" i="1"/>
  <c r="U296" i="1" s="1"/>
  <c r="BD297" i="1"/>
  <c r="BE297" i="1"/>
  <c r="U297" i="1" s="1"/>
  <c r="BD291" i="1"/>
  <c r="BE291" i="1"/>
  <c r="U291" i="1" s="1"/>
  <c r="BD290" i="1"/>
  <c r="BE290" i="1"/>
  <c r="U290" i="1" s="1"/>
  <c r="BD292" i="1"/>
  <c r="BE292" i="1"/>
  <c r="U292" i="1" s="1"/>
  <c r="BD293" i="1"/>
  <c r="BD294" i="1"/>
  <c r="BE294" i="1"/>
  <c r="U294" i="1" s="1"/>
  <c r="BD289" i="1"/>
  <c r="BE289" i="1"/>
  <c r="U289" i="1" s="1"/>
  <c r="BE288" i="1"/>
  <c r="U288" i="1" s="1"/>
  <c r="BE287" i="1"/>
  <c r="U287" i="1" s="1"/>
  <c r="BD285" i="1"/>
  <c r="BE284" i="1"/>
  <c r="U284" i="1" s="1"/>
  <c r="BC274" i="1"/>
  <c r="BD274" i="1" s="1"/>
  <c r="BC253" i="1"/>
  <c r="BD253" i="1" s="1"/>
  <c r="BC276" i="1"/>
  <c r="BD276" i="1" s="1"/>
  <c r="BC271" i="1"/>
  <c r="BD271" i="1" s="1"/>
  <c r="BC278" i="1"/>
  <c r="BD278" i="1" s="1"/>
  <c r="BC277" i="1"/>
  <c r="BE277" i="1" s="1"/>
  <c r="U277" i="1" s="1"/>
  <c r="BC254" i="1"/>
  <c r="BE254" i="1" s="1"/>
  <c r="U254" i="1" s="1"/>
  <c r="BC270" i="1"/>
  <c r="BD270" i="1" s="1"/>
  <c r="BC275" i="1"/>
  <c r="BD275" i="1" s="1"/>
  <c r="BC263" i="1"/>
  <c r="BD263" i="1" s="1"/>
  <c r="BC257" i="1"/>
  <c r="BD257" i="1" s="1"/>
  <c r="BC269" i="1"/>
  <c r="BD269" i="1" s="1"/>
  <c r="BE282" i="1"/>
  <c r="U282" i="1" s="1"/>
  <c r="BE280" i="1"/>
  <c r="U280" i="1" s="1"/>
  <c r="BE279" i="1"/>
  <c r="U279" i="1" s="1"/>
  <c r="BD273" i="1"/>
  <c r="BE273" i="1"/>
  <c r="U273" i="1" s="1"/>
  <c r="BE272" i="1"/>
  <c r="U272" i="1" s="1"/>
  <c r="BE268" i="1"/>
  <c r="U268" i="1" s="1"/>
  <c r="BE267" i="1"/>
  <c r="U267" i="1" s="1"/>
  <c r="BE266" i="1"/>
  <c r="U266" i="1" s="1"/>
  <c r="BE264" i="1"/>
  <c r="U264" i="1" s="1"/>
  <c r="BC265" i="1"/>
  <c r="BD262" i="1"/>
  <c r="BE261" i="1"/>
  <c r="U261" i="1" s="1"/>
  <c r="BE260" i="1"/>
  <c r="U260" i="1" s="1"/>
  <c r="BE256" i="1"/>
  <c r="U256" i="1" s="1"/>
  <c r="BD258" i="1"/>
  <c r="BD259" i="1"/>
  <c r="BE259" i="1" s="1"/>
  <c r="U259" i="1" s="1"/>
  <c r="BC241" i="1"/>
  <c r="BD241" i="1" s="1"/>
  <c r="BC233" i="1"/>
  <c r="BD233" i="1" s="1"/>
  <c r="BE233" i="1" s="1"/>
  <c r="U233" i="1" s="1"/>
  <c r="BC221" i="1"/>
  <c r="BD221" i="1" s="1"/>
  <c r="BC225" i="1"/>
  <c r="BD225" i="1" s="1"/>
  <c r="BE225" i="1" s="1"/>
  <c r="U225" i="1" s="1"/>
  <c r="BC239" i="1"/>
  <c r="BD239" i="1" s="1"/>
  <c r="BC228" i="1"/>
  <c r="BD228" i="1" s="1"/>
  <c r="BE228" i="1" s="1"/>
  <c r="U228" i="1" s="1"/>
  <c r="BD230" i="1"/>
  <c r="BE230" i="1"/>
  <c r="U230" i="1" s="1"/>
  <c r="BC248" i="1"/>
  <c r="BE248" i="1" s="1"/>
  <c r="U248" i="1" s="1"/>
  <c r="BC251" i="1"/>
  <c r="BD251" i="1" s="1"/>
  <c r="BC238" i="1"/>
  <c r="BE238" i="1" s="1"/>
  <c r="U238" i="1" s="1"/>
  <c r="BE226" i="1"/>
  <c r="U226" i="1" s="1"/>
  <c r="BC227" i="1"/>
  <c r="BD227" i="1" s="1"/>
  <c r="BC234" i="1"/>
  <c r="BD234" i="1" s="1"/>
  <c r="BC242" i="1"/>
  <c r="BE242" i="1" s="1"/>
  <c r="U242" i="1" s="1"/>
  <c r="BC250" i="1"/>
  <c r="BE250" i="1" s="1"/>
  <c r="U250" i="1" s="1"/>
  <c r="BE245" i="1"/>
  <c r="U245" i="1" s="1"/>
  <c r="BC231" i="1"/>
  <c r="BD231" i="1" s="1"/>
  <c r="BC247" i="1"/>
  <c r="BE247" i="1" s="1"/>
  <c r="U247" i="1" s="1"/>
  <c r="BD244" i="1"/>
  <c r="BE244" i="1"/>
  <c r="U244" i="1" s="1"/>
  <c r="BC232" i="1"/>
  <c r="BC229" i="1"/>
  <c r="BC236" i="1"/>
  <c r="BC243" i="1"/>
  <c r="BC252" i="1"/>
  <c r="BE246" i="1"/>
  <c r="U246" i="1" s="1"/>
  <c r="BC249" i="1"/>
  <c r="BC240" i="1"/>
  <c r="BC235" i="1"/>
  <c r="BC237" i="1"/>
  <c r="BC222" i="1"/>
  <c r="BD222" i="1" s="1"/>
  <c r="BE222" i="1" s="1"/>
  <c r="U222" i="1" s="1"/>
  <c r="BE223" i="1"/>
  <c r="U223" i="1" s="1"/>
  <c r="BE224" i="1"/>
  <c r="U224" i="1" s="1"/>
  <c r="BE220" i="1"/>
  <c r="U220" i="1" s="1"/>
  <c r="BE283" i="1" l="1"/>
  <c r="U283" i="1" s="1"/>
  <c r="BE286" i="1"/>
  <c r="U286" i="1" s="1"/>
  <c r="BE281" i="1"/>
  <c r="U281" i="1" s="1"/>
  <c r="BE311" i="1"/>
  <c r="U311" i="1" s="1"/>
  <c r="BE274" i="1"/>
  <c r="U274" i="1" s="1"/>
  <c r="BE276" i="1"/>
  <c r="U276" i="1" s="1"/>
  <c r="BE253" i="1"/>
  <c r="U253" i="1" s="1"/>
  <c r="BE257" i="1"/>
  <c r="U257" i="1" s="1"/>
  <c r="BE275" i="1"/>
  <c r="U275" i="1" s="1"/>
  <c r="BE270" i="1"/>
  <c r="U270" i="1" s="1"/>
  <c r="BD277" i="1"/>
  <c r="BE271" i="1"/>
  <c r="U271" i="1" s="1"/>
  <c r="BE278" i="1"/>
  <c r="U278" i="1" s="1"/>
  <c r="BD254" i="1"/>
  <c r="BE263" i="1"/>
  <c r="U263" i="1" s="1"/>
  <c r="BE269" i="1"/>
  <c r="U269" i="1" s="1"/>
  <c r="BD265" i="1"/>
  <c r="BE265" i="1"/>
  <c r="U265" i="1" s="1"/>
  <c r="BE241" i="1"/>
  <c r="U241" i="1" s="1"/>
  <c r="BE221" i="1"/>
  <c r="U221" i="1" s="1"/>
  <c r="BE239" i="1"/>
  <c r="U239" i="1" s="1"/>
  <c r="BD248" i="1"/>
  <c r="BE251" i="1"/>
  <c r="U251" i="1" s="1"/>
  <c r="BD238" i="1"/>
  <c r="BD242" i="1"/>
  <c r="BE234" i="1"/>
  <c r="U234" i="1" s="1"/>
  <c r="BE231" i="1"/>
  <c r="U231" i="1" s="1"/>
  <c r="BD247" i="1"/>
  <c r="BE227" i="1"/>
  <c r="U227" i="1" s="1"/>
  <c r="BD250" i="1"/>
  <c r="BD235" i="1"/>
  <c r="BE235" i="1" s="1"/>
  <c r="U235" i="1" s="1"/>
  <c r="BD249" i="1"/>
  <c r="BE249" i="1"/>
  <c r="U249" i="1" s="1"/>
  <c r="BE229" i="1"/>
  <c r="U229" i="1" s="1"/>
  <c r="BD229" i="1"/>
  <c r="BE240" i="1"/>
  <c r="U240" i="1" s="1"/>
  <c r="BD240" i="1"/>
  <c r="BE252" i="1"/>
  <c r="U252" i="1" s="1"/>
  <c r="BD252" i="1"/>
  <c r="BD243" i="1"/>
  <c r="BE243" i="1"/>
  <c r="U243" i="1" s="1"/>
  <c r="BD232" i="1"/>
  <c r="BE232" i="1" s="1"/>
  <c r="U232" i="1" s="1"/>
  <c r="BD237" i="1"/>
  <c r="BE237" i="1"/>
  <c r="U237" i="1" s="1"/>
  <c r="BD236" i="1"/>
  <c r="BE236" i="1"/>
  <c r="U236" i="1" s="1"/>
  <c r="J396" i="2"/>
  <c r="J397" i="2"/>
  <c r="J398" i="2"/>
  <c r="J399" i="2"/>
  <c r="J400" i="2"/>
  <c r="J401" i="2"/>
  <c r="J402" i="2"/>
  <c r="J403" i="2"/>
  <c r="J404" i="2"/>
  <c r="J405" i="2"/>
  <c r="J406" i="2"/>
  <c r="J407" i="2"/>
  <c r="J408" i="2"/>
  <c r="J409" i="2"/>
  <c r="AW205" i="1"/>
  <c r="AZ205" i="1"/>
  <c r="BB205" i="1"/>
  <c r="BC205" i="1" s="1"/>
  <c r="BF205" i="1" a="1"/>
  <c r="AW206" i="1"/>
  <c r="AZ206" i="1"/>
  <c r="BB206" i="1"/>
  <c r="BF206" i="1" a="1"/>
  <c r="AW207" i="1"/>
  <c r="AZ207" i="1"/>
  <c r="BB207" i="1"/>
  <c r="BF207" i="1" a="1"/>
  <c r="AW208" i="1"/>
  <c r="AZ208" i="1"/>
  <c r="BB208" i="1"/>
  <c r="BC208" i="1"/>
  <c r="BD208" i="1" s="1"/>
  <c r="BF208" i="1" a="1"/>
  <c r="AW209" i="1"/>
  <c r="AZ209" i="1"/>
  <c r="BB209" i="1"/>
  <c r="BC209" i="1" s="1"/>
  <c r="BF209" i="1" a="1"/>
  <c r="AW210" i="1"/>
  <c r="AZ210" i="1"/>
  <c r="BB210" i="1"/>
  <c r="BC210" i="1" s="1"/>
  <c r="BD210" i="1" s="1"/>
  <c r="BF210" i="1" a="1"/>
  <c r="AW211" i="1"/>
  <c r="AZ211" i="1"/>
  <c r="BB211" i="1"/>
  <c r="BC211" i="1" s="1"/>
  <c r="BF211" i="1" a="1"/>
  <c r="AW212" i="1"/>
  <c r="AZ212" i="1"/>
  <c r="BB212" i="1"/>
  <c r="BF212" i="1" a="1"/>
  <c r="AW213" i="1"/>
  <c r="AZ213" i="1"/>
  <c r="BB213" i="1"/>
  <c r="BF213" i="1" a="1"/>
  <c r="AW214" i="1"/>
  <c r="AZ214" i="1"/>
  <c r="BB214" i="1"/>
  <c r="BF214" i="1" a="1"/>
  <c r="AW215" i="1"/>
  <c r="AZ215" i="1"/>
  <c r="BB215" i="1"/>
  <c r="BF215" i="1" a="1"/>
  <c r="AW216" i="1"/>
  <c r="AZ216" i="1"/>
  <c r="BB216" i="1"/>
  <c r="BF216" i="1" a="1"/>
  <c r="AW217" i="1"/>
  <c r="AZ217" i="1"/>
  <c r="BB217" i="1"/>
  <c r="BF217" i="1" a="1"/>
  <c r="AW218" i="1"/>
  <c r="AZ218" i="1"/>
  <c r="BB218" i="1"/>
  <c r="BF218" i="1" a="1"/>
  <c r="AW219" i="1"/>
  <c r="AZ219" i="1"/>
  <c r="BB219" i="1"/>
  <c r="BC219" i="1" s="1"/>
  <c r="BF219" i="1" a="1"/>
  <c r="T205" i="1"/>
  <c r="T206" i="1"/>
  <c r="T207" i="1"/>
  <c r="T208" i="1"/>
  <c r="T209" i="1"/>
  <c r="T210" i="1"/>
  <c r="T211" i="1"/>
  <c r="T212" i="1"/>
  <c r="T213" i="1"/>
  <c r="T214" i="1"/>
  <c r="T215" i="1"/>
  <c r="T216" i="1"/>
  <c r="T217" i="1"/>
  <c r="T218" i="1"/>
  <c r="T219" i="1"/>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T204" i="1"/>
  <c r="AW204" i="1"/>
  <c r="AZ204" i="1"/>
  <c r="BB204" i="1"/>
  <c r="BC204" i="1" s="1"/>
  <c r="BD204" i="1" s="1"/>
  <c r="BF204" i="1" a="1"/>
  <c r="T202" i="1"/>
  <c r="AW202" i="1"/>
  <c r="AZ202" i="1"/>
  <c r="BB202" i="1"/>
  <c r="BF202" i="1" a="1"/>
  <c r="T203" i="1"/>
  <c r="AW203" i="1"/>
  <c r="AZ203" i="1"/>
  <c r="BB203" i="1"/>
  <c r="BF203" i="1" a="1"/>
  <c r="BF199" i="1" a="1"/>
  <c r="BF200" i="1" a="1"/>
  <c r="BF201" i="1" a="1"/>
  <c r="T199" i="1"/>
  <c r="AW199" i="1"/>
  <c r="AZ199" i="1"/>
  <c r="BB199" i="1"/>
  <c r="T200" i="1"/>
  <c r="AW200" i="1"/>
  <c r="AZ200" i="1"/>
  <c r="BB200" i="1"/>
  <c r="T201" i="1"/>
  <c r="AW201" i="1"/>
  <c r="AZ201" i="1"/>
  <c r="BB201" i="1"/>
  <c r="T195" i="1"/>
  <c r="AW195" i="1"/>
  <c r="AZ195" i="1"/>
  <c r="BB195" i="1"/>
  <c r="BF195" i="1" a="1"/>
  <c r="T196" i="1"/>
  <c r="AW196" i="1"/>
  <c r="AZ196" i="1"/>
  <c r="BB196" i="1"/>
  <c r="BF196" i="1" a="1"/>
  <c r="T197" i="1"/>
  <c r="AW197" i="1"/>
  <c r="AZ197" i="1"/>
  <c r="BB197" i="1"/>
  <c r="BF197" i="1" a="1"/>
  <c r="T198" i="1"/>
  <c r="AW198" i="1"/>
  <c r="AZ198" i="1"/>
  <c r="BB198" i="1"/>
  <c r="BF198" i="1" a="1"/>
  <c r="BF191" i="1" a="1"/>
  <c r="BF192" i="1" a="1"/>
  <c r="BF193" i="1" a="1"/>
  <c r="BF194" i="1" a="1"/>
  <c r="T192" i="1"/>
  <c r="AW192" i="1"/>
  <c r="AZ192" i="1"/>
  <c r="BB192" i="1"/>
  <c r="T193" i="1"/>
  <c r="AW193" i="1"/>
  <c r="AZ193" i="1"/>
  <c r="BB193" i="1"/>
  <c r="T194" i="1"/>
  <c r="AW194" i="1"/>
  <c r="AZ194" i="1"/>
  <c r="BB194" i="1"/>
  <c r="T191" i="1"/>
  <c r="AW191" i="1"/>
  <c r="AZ191" i="1"/>
  <c r="BB191" i="1"/>
  <c r="BC191" i="1" s="1"/>
  <c r="BD191" i="1" s="1"/>
  <c r="BF185" i="1" a="1"/>
  <c r="BF186" i="1" a="1"/>
  <c r="BF187" i="1" a="1"/>
  <c r="BF188" i="1" a="1"/>
  <c r="BF189" i="1" a="1"/>
  <c r="BF190" i="1" a="1"/>
  <c r="T187" i="1"/>
  <c r="AW187" i="1"/>
  <c r="AZ187" i="1"/>
  <c r="BB187" i="1"/>
  <c r="T188" i="1"/>
  <c r="AW188" i="1"/>
  <c r="AZ188" i="1"/>
  <c r="BB188" i="1"/>
  <c r="T189" i="1"/>
  <c r="AZ189" i="1"/>
  <c r="BB189" i="1"/>
  <c r="T190" i="1"/>
  <c r="AW190" i="1"/>
  <c r="AZ190" i="1"/>
  <c r="BB190" i="1"/>
  <c r="T185" i="1"/>
  <c r="AW185" i="1"/>
  <c r="AZ185" i="1"/>
  <c r="BB185" i="1"/>
  <c r="BC185" i="1" s="1"/>
  <c r="BD185" i="1" s="1"/>
  <c r="T186" i="1"/>
  <c r="AW186" i="1"/>
  <c r="AZ186" i="1"/>
  <c r="BB186" i="1"/>
  <c r="BC186" i="1" s="1"/>
  <c r="BE186" i="1" s="1"/>
  <c r="U186" i="1" s="1"/>
  <c r="AW178" i="1"/>
  <c r="AZ178" i="1"/>
  <c r="BB178" i="1"/>
  <c r="BF178" i="1" a="1"/>
  <c r="AW179" i="1"/>
  <c r="AZ179" i="1"/>
  <c r="BB179" i="1"/>
  <c r="BF179" i="1" a="1"/>
  <c r="AW180" i="1"/>
  <c r="AZ180" i="1"/>
  <c r="BB180" i="1"/>
  <c r="BF180" i="1" a="1"/>
  <c r="AW181" i="1"/>
  <c r="AZ181" i="1"/>
  <c r="BB181" i="1"/>
  <c r="BF181" i="1" a="1"/>
  <c r="AW182" i="1"/>
  <c r="AZ182" i="1"/>
  <c r="BB182" i="1"/>
  <c r="BF182" i="1" a="1"/>
  <c r="AW183" i="1"/>
  <c r="AZ183" i="1"/>
  <c r="BB183" i="1"/>
  <c r="BF183" i="1" a="1"/>
  <c r="AW184" i="1"/>
  <c r="AZ184" i="1"/>
  <c r="BB184" i="1"/>
  <c r="BF184" i="1" a="1"/>
  <c r="T180" i="1"/>
  <c r="T181" i="1"/>
  <c r="T182" i="1"/>
  <c r="T183" i="1"/>
  <c r="T184" i="1"/>
  <c r="T178" i="1"/>
  <c r="T179" i="1"/>
  <c r="AW172" i="1"/>
  <c r="AZ172" i="1"/>
  <c r="BB172" i="1"/>
  <c r="BF172" i="1" a="1"/>
  <c r="AW173" i="1"/>
  <c r="AZ173" i="1"/>
  <c r="BB173" i="1"/>
  <c r="BF173" i="1" a="1"/>
  <c r="AW174" i="1"/>
  <c r="AZ174" i="1"/>
  <c r="BB174" i="1"/>
  <c r="BF174" i="1" a="1"/>
  <c r="AW175" i="1"/>
  <c r="AZ175" i="1"/>
  <c r="BB175" i="1"/>
  <c r="BF175" i="1" a="1"/>
  <c r="AW176" i="1"/>
  <c r="AZ176" i="1"/>
  <c r="BB176" i="1"/>
  <c r="BF176" i="1" a="1"/>
  <c r="AW177" i="1"/>
  <c r="AZ177" i="1"/>
  <c r="BB177" i="1"/>
  <c r="BF177" i="1" a="1"/>
  <c r="T172" i="1"/>
  <c r="T173" i="1"/>
  <c r="T174" i="1"/>
  <c r="T175" i="1"/>
  <c r="T176" i="1"/>
  <c r="T177" i="1"/>
  <c r="BC207" i="1" l="1"/>
  <c r="BD207" i="1" s="1"/>
  <c r="BC215" i="1"/>
  <c r="BE215" i="1" s="1"/>
  <c r="U215" i="1" s="1"/>
  <c r="BC217" i="1"/>
  <c r="BD217" i="1" s="1"/>
  <c r="BC218" i="1"/>
  <c r="BE218" i="1" s="1"/>
  <c r="U218" i="1" s="1"/>
  <c r="BC206" i="1"/>
  <c r="BD206" i="1" s="1"/>
  <c r="BE208" i="1"/>
  <c r="U208" i="1" s="1"/>
  <c r="BC213" i="1"/>
  <c r="BD213" i="1" s="1"/>
  <c r="BC203" i="1"/>
  <c r="BD203" i="1" s="1"/>
  <c r="BD219" i="1"/>
  <c r="BE219" i="1"/>
  <c r="U219" i="1" s="1"/>
  <c r="BD205" i="1"/>
  <c r="BE205" i="1"/>
  <c r="U205" i="1" s="1"/>
  <c r="BE211" i="1"/>
  <c r="U211" i="1" s="1"/>
  <c r="BD211" i="1"/>
  <c r="BD209" i="1"/>
  <c r="BE209" i="1"/>
  <c r="U209" i="1" s="1"/>
  <c r="BC212" i="1"/>
  <c r="BC214" i="1"/>
  <c r="BC216" i="1"/>
  <c r="BE210" i="1"/>
  <c r="U210" i="1" s="1"/>
  <c r="BC179" i="1"/>
  <c r="BE179" i="1" s="1"/>
  <c r="U179" i="1" s="1"/>
  <c r="BC198" i="1"/>
  <c r="BE198" i="1" s="1"/>
  <c r="U198" i="1" s="1"/>
  <c r="BC201" i="1"/>
  <c r="BD201" i="1" s="1"/>
  <c r="BC202" i="1"/>
  <c r="BD202" i="1" s="1"/>
  <c r="BC194" i="1"/>
  <c r="BD194" i="1" s="1"/>
  <c r="BC188" i="1"/>
  <c r="BD188" i="1" s="1"/>
  <c r="BC187" i="1"/>
  <c r="BD187" i="1" s="1"/>
  <c r="BC177" i="1"/>
  <c r="BD177" i="1" s="1"/>
  <c r="BC178" i="1"/>
  <c r="BE178" i="1" s="1"/>
  <c r="U178" i="1" s="1"/>
  <c r="BC196" i="1"/>
  <c r="BD196" i="1" s="1"/>
  <c r="BC192" i="1"/>
  <c r="BD192" i="1" s="1"/>
  <c r="BC195" i="1"/>
  <c r="BD195" i="1" s="1"/>
  <c r="BC183" i="1"/>
  <c r="BD183" i="1" s="1"/>
  <c r="BC200" i="1"/>
  <c r="BD200" i="1" s="1"/>
  <c r="BC182" i="1"/>
  <c r="BD182" i="1" s="1"/>
  <c r="BC190" i="1"/>
  <c r="BE190" i="1" s="1"/>
  <c r="U190" i="1" s="1"/>
  <c r="BC199" i="1"/>
  <c r="BD199" i="1" s="1"/>
  <c r="BC176" i="1"/>
  <c r="BE176" i="1" s="1"/>
  <c r="U176" i="1" s="1"/>
  <c r="BC197" i="1"/>
  <c r="BD197" i="1" s="1"/>
  <c r="BE204" i="1"/>
  <c r="U204" i="1" s="1"/>
  <c r="BE191" i="1"/>
  <c r="U191" i="1" s="1"/>
  <c r="BC193" i="1"/>
  <c r="BC189" i="1"/>
  <c r="BD186" i="1"/>
  <c r="BE185" i="1"/>
  <c r="U185" i="1" s="1"/>
  <c r="BC184" i="1"/>
  <c r="BC180" i="1"/>
  <c r="BC181" i="1"/>
  <c r="BC173" i="1"/>
  <c r="BC174" i="1"/>
  <c r="BC172" i="1"/>
  <c r="BC175" i="1"/>
  <c r="BD215" i="1" l="1"/>
  <c r="BE203" i="1"/>
  <c r="U203" i="1" s="1"/>
  <c r="BE217" i="1"/>
  <c r="U217" i="1" s="1"/>
  <c r="BE207" i="1"/>
  <c r="U207" i="1" s="1"/>
  <c r="BD218" i="1"/>
  <c r="BE206" i="1"/>
  <c r="U206" i="1" s="1"/>
  <c r="BE213" i="1"/>
  <c r="U213" i="1" s="1"/>
  <c r="BD216" i="1"/>
  <c r="BE216" i="1"/>
  <c r="U216" i="1" s="1"/>
  <c r="BD214" i="1"/>
  <c r="BE214" i="1"/>
  <c r="U214" i="1" s="1"/>
  <c r="BD212" i="1"/>
  <c r="BE212" i="1"/>
  <c r="U212" i="1" s="1"/>
  <c r="BD179" i="1"/>
  <c r="BD198" i="1"/>
  <c r="BE192" i="1"/>
  <c r="U192" i="1" s="1"/>
  <c r="BE194" i="1"/>
  <c r="U194" i="1" s="1"/>
  <c r="BE201" i="1"/>
  <c r="U201" i="1" s="1"/>
  <c r="BE196" i="1"/>
  <c r="U196" i="1" s="1"/>
  <c r="BE188" i="1"/>
  <c r="U188" i="1" s="1"/>
  <c r="BE202" i="1"/>
  <c r="U202" i="1" s="1"/>
  <c r="BE187" i="1"/>
  <c r="U187" i="1" s="1"/>
  <c r="BE177" i="1"/>
  <c r="U177" i="1" s="1"/>
  <c r="BE183" i="1"/>
  <c r="U183" i="1" s="1"/>
  <c r="BD178" i="1"/>
  <c r="BD190" i="1"/>
  <c r="BE195" i="1"/>
  <c r="U195" i="1" s="1"/>
  <c r="BD176" i="1"/>
  <c r="BE200" i="1"/>
  <c r="U200" i="1" s="1"/>
  <c r="BE182" i="1"/>
  <c r="U182" i="1" s="1"/>
  <c r="BE199" i="1"/>
  <c r="U199" i="1" s="1"/>
  <c r="BE197" i="1"/>
  <c r="U197" i="1" s="1"/>
  <c r="BD193" i="1"/>
  <c r="BE193" i="1"/>
  <c r="U193" i="1" s="1"/>
  <c r="BD189" i="1"/>
  <c r="BE189" i="1"/>
  <c r="U189" i="1" s="1"/>
  <c r="BE181" i="1"/>
  <c r="U181" i="1" s="1"/>
  <c r="BD181" i="1"/>
  <c r="BE180" i="1"/>
  <c r="U180" i="1" s="1"/>
  <c r="BD180" i="1"/>
  <c r="BE184" i="1"/>
  <c r="U184" i="1" s="1"/>
  <c r="BD184" i="1"/>
  <c r="BE175" i="1"/>
  <c r="U175" i="1" s="1"/>
  <c r="BD175" i="1"/>
  <c r="BE172" i="1"/>
  <c r="U172" i="1" s="1"/>
  <c r="BD172" i="1"/>
  <c r="BD173" i="1"/>
  <c r="BE173" i="1" s="1"/>
  <c r="U173" i="1" s="1"/>
  <c r="BD174" i="1"/>
  <c r="BE174" i="1"/>
  <c r="U174" i="1" s="1"/>
  <c r="BB167" i="1" l="1"/>
  <c r="BC167" i="1" s="1"/>
  <c r="BF167" i="1" a="1"/>
  <c r="BB168" i="1"/>
  <c r="BF168" i="1" a="1"/>
  <c r="BB169" i="1"/>
  <c r="BF169" i="1" a="1"/>
  <c r="BB170" i="1"/>
  <c r="BF170" i="1" a="1"/>
  <c r="BB171" i="1"/>
  <c r="BF171" i="1" a="1"/>
  <c r="AW167" i="1"/>
  <c r="AZ167" i="1"/>
  <c r="AW168" i="1"/>
  <c r="AZ168" i="1"/>
  <c r="AW169" i="1"/>
  <c r="AZ169" i="1"/>
  <c r="AW170" i="1"/>
  <c r="AZ170" i="1"/>
  <c r="AW171" i="1"/>
  <c r="AZ171" i="1"/>
  <c r="T167" i="1"/>
  <c r="T168" i="1"/>
  <c r="T169" i="1"/>
  <c r="T170" i="1"/>
  <c r="T171" i="1"/>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BF159" i="1" a="1"/>
  <c r="BF160" i="1" a="1"/>
  <c r="BF161" i="1" a="1"/>
  <c r="BF162" i="1" a="1"/>
  <c r="BF163" i="1" a="1"/>
  <c r="BF164" i="1" a="1"/>
  <c r="BF165" i="1" a="1"/>
  <c r="BF166" i="1" a="1"/>
  <c r="AW159" i="1"/>
  <c r="AZ159" i="1"/>
  <c r="BB159" i="1"/>
  <c r="AW160" i="1"/>
  <c r="AZ160" i="1"/>
  <c r="BB160" i="1"/>
  <c r="AW161" i="1"/>
  <c r="AZ161" i="1"/>
  <c r="BB161" i="1"/>
  <c r="BC161" i="1" s="1"/>
  <c r="BE161" i="1" s="1"/>
  <c r="U161" i="1" s="1"/>
  <c r="AW162" i="1"/>
  <c r="AZ162" i="1"/>
  <c r="BB162" i="1"/>
  <c r="BC162" i="1" s="1"/>
  <c r="AW163" i="1"/>
  <c r="AZ163" i="1"/>
  <c r="BB163" i="1"/>
  <c r="AW164" i="1"/>
  <c r="AZ164" i="1"/>
  <c r="BB164" i="1"/>
  <c r="AW165" i="1"/>
  <c r="AZ165" i="1"/>
  <c r="BB165" i="1"/>
  <c r="BC165" i="1" s="1"/>
  <c r="BE165" i="1" s="1"/>
  <c r="U165" i="1" s="1"/>
  <c r="AW166" i="1"/>
  <c r="AZ166" i="1"/>
  <c r="BB166" i="1"/>
  <c r="BC166" i="1" s="1"/>
  <c r="T159" i="1"/>
  <c r="T160" i="1"/>
  <c r="T161" i="1"/>
  <c r="T162" i="1"/>
  <c r="T163" i="1"/>
  <c r="T164" i="1"/>
  <c r="T165" i="1"/>
  <c r="T166" i="1"/>
  <c r="T155" i="1"/>
  <c r="AW155" i="1"/>
  <c r="AZ155" i="1"/>
  <c r="BB155" i="1"/>
  <c r="BF155" i="1" a="1"/>
  <c r="T156" i="1"/>
  <c r="AW156" i="1"/>
  <c r="AZ156" i="1"/>
  <c r="BB156" i="1"/>
  <c r="BF156" i="1" a="1"/>
  <c r="T157" i="1"/>
  <c r="AW157" i="1"/>
  <c r="AZ157" i="1"/>
  <c r="BB157" i="1"/>
  <c r="BF157" i="1" a="1"/>
  <c r="T158" i="1"/>
  <c r="AW158" i="1"/>
  <c r="AZ158" i="1"/>
  <c r="BB158" i="1"/>
  <c r="BC158" i="1" s="1"/>
  <c r="BF158" i="1" a="1"/>
  <c r="BC170" i="1" l="1"/>
  <c r="BE170" i="1" s="1"/>
  <c r="U170" i="1" s="1"/>
  <c r="BC164" i="1"/>
  <c r="BD164" i="1" s="1"/>
  <c r="BC159" i="1"/>
  <c r="BD159" i="1" s="1"/>
  <c r="BC169" i="1"/>
  <c r="BD169" i="1" s="1"/>
  <c r="BD167" i="1"/>
  <c r="BE167" i="1"/>
  <c r="U167" i="1" s="1"/>
  <c r="BC168" i="1"/>
  <c r="BC171" i="1"/>
  <c r="BC163" i="1"/>
  <c r="BD163" i="1" s="1"/>
  <c r="BC157" i="1"/>
  <c r="BE157" i="1" s="1"/>
  <c r="U157" i="1" s="1"/>
  <c r="BC160" i="1"/>
  <c r="BD160" i="1" s="1"/>
  <c r="BC156" i="1"/>
  <c r="BD156" i="1" s="1"/>
  <c r="BE162" i="1"/>
  <c r="U162" i="1" s="1"/>
  <c r="BD162" i="1"/>
  <c r="BD166" i="1"/>
  <c r="BE166" i="1"/>
  <c r="U166" i="1" s="1"/>
  <c r="BD165" i="1"/>
  <c r="BD161" i="1"/>
  <c r="BC155" i="1"/>
  <c r="BD155" i="1" s="1"/>
  <c r="BE158" i="1"/>
  <c r="U158" i="1" s="1"/>
  <c r="BD158" i="1"/>
  <c r="BD170" i="1" l="1"/>
  <c r="BE164" i="1"/>
  <c r="U164" i="1" s="1"/>
  <c r="BE159" i="1"/>
  <c r="U159" i="1" s="1"/>
  <c r="BE169" i="1"/>
  <c r="U169" i="1" s="1"/>
  <c r="BD168" i="1"/>
  <c r="BE168" i="1"/>
  <c r="U168" i="1" s="1"/>
  <c r="BD171" i="1"/>
  <c r="BE171" i="1"/>
  <c r="U171" i="1" s="1"/>
  <c r="BE163" i="1"/>
  <c r="U163" i="1" s="1"/>
  <c r="BD157" i="1"/>
  <c r="BE160" i="1"/>
  <c r="U160" i="1" s="1"/>
  <c r="BE156" i="1"/>
  <c r="U156" i="1" s="1"/>
  <c r="BE155" i="1"/>
  <c r="U155" i="1" s="1"/>
  <c r="J257" i="2" l="1"/>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T153" i="1"/>
  <c r="AW153" i="1"/>
  <c r="AZ153" i="1"/>
  <c r="BB153" i="1"/>
  <c r="BF153" i="1" a="1"/>
  <c r="T154" i="1"/>
  <c r="AW154" i="1"/>
  <c r="AZ154" i="1"/>
  <c r="BB154" i="1"/>
  <c r="BF154" i="1" a="1"/>
  <c r="T152" i="1"/>
  <c r="AW152" i="1"/>
  <c r="AZ152" i="1"/>
  <c r="BB152" i="1"/>
  <c r="BC152" i="1" s="1"/>
  <c r="BD152" i="1" s="1"/>
  <c r="BF152" i="1" a="1"/>
  <c r="BB151" i="1"/>
  <c r="BC151" i="1" s="1"/>
  <c r="BD151" i="1" s="1"/>
  <c r="BF151" i="1" a="1"/>
  <c r="T151" i="1"/>
  <c r="AW151" i="1"/>
  <c r="AZ151" i="1"/>
  <c r="AW148" i="1"/>
  <c r="AZ148" i="1"/>
  <c r="BB148" i="1"/>
  <c r="BF148" i="1" a="1"/>
  <c r="AW149" i="1"/>
  <c r="AZ149" i="1"/>
  <c r="BB149" i="1"/>
  <c r="BF149" i="1" a="1"/>
  <c r="AW150" i="1"/>
  <c r="AZ150" i="1"/>
  <c r="BB150" i="1"/>
  <c r="BF150" i="1" a="1"/>
  <c r="T150" i="1"/>
  <c r="T148" i="1"/>
  <c r="T149" i="1"/>
  <c r="AW147" i="1"/>
  <c r="AZ147" i="1"/>
  <c r="BB147" i="1"/>
  <c r="BC147" i="1" s="1"/>
  <c r="BD147" i="1" s="1"/>
  <c r="BF147" i="1" a="1"/>
  <c r="T147" i="1"/>
  <c r="T146" i="1"/>
  <c r="AW146" i="1"/>
  <c r="AZ146" i="1"/>
  <c r="BB146" i="1"/>
  <c r="BC146" i="1" s="1"/>
  <c r="BD146" i="1" s="1"/>
  <c r="BF146" i="1" a="1"/>
  <c r="T145" i="1"/>
  <c r="AW145" i="1"/>
  <c r="AZ145" i="1"/>
  <c r="BB145" i="1"/>
  <c r="BC145" i="1" s="1"/>
  <c r="BD145" i="1" s="1"/>
  <c r="BF145" i="1" a="1"/>
  <c r="J238" i="2"/>
  <c r="J239" i="2"/>
  <c r="J240" i="2"/>
  <c r="J241" i="2"/>
  <c r="J242" i="2"/>
  <c r="J243" i="2"/>
  <c r="J244" i="2"/>
  <c r="J245" i="2"/>
  <c r="J246" i="2"/>
  <c r="J247" i="2"/>
  <c r="J248" i="2"/>
  <c r="J249" i="2"/>
  <c r="J250" i="2"/>
  <c r="J251" i="2"/>
  <c r="J252" i="2"/>
  <c r="J253" i="2"/>
  <c r="J254" i="2"/>
  <c r="J255" i="2"/>
  <c r="J256" i="2"/>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BB140" i="1"/>
  <c r="BF140" i="1" a="1"/>
  <c r="BB141" i="1"/>
  <c r="BF141" i="1" a="1"/>
  <c r="BB142" i="1"/>
  <c r="BF142" i="1" a="1"/>
  <c r="BB143" i="1"/>
  <c r="BC143" i="1" s="1"/>
  <c r="BE143" i="1" s="1"/>
  <c r="U143" i="1" s="1"/>
  <c r="BF143" i="1" a="1"/>
  <c r="BB144" i="1"/>
  <c r="BC144" i="1" s="1"/>
  <c r="BF144" i="1" a="1"/>
  <c r="AW144" i="1"/>
  <c r="AZ144" i="1"/>
  <c r="AW143" i="1"/>
  <c r="AZ143" i="1"/>
  <c r="AW140" i="1"/>
  <c r="AZ140" i="1"/>
  <c r="AW141" i="1"/>
  <c r="AZ141" i="1"/>
  <c r="AW142" i="1"/>
  <c r="AZ142" i="1"/>
  <c r="AW138" i="1"/>
  <c r="AZ138" i="1"/>
  <c r="BB138" i="1"/>
  <c r="BF138" i="1" a="1"/>
  <c r="AW139" i="1"/>
  <c r="AZ139" i="1"/>
  <c r="BB139" i="1"/>
  <c r="BF139" i="1" a="1"/>
  <c r="AW136" i="1"/>
  <c r="AZ136" i="1"/>
  <c r="BB136" i="1"/>
  <c r="BF136" i="1" a="1"/>
  <c r="AW137" i="1"/>
  <c r="AZ137" i="1"/>
  <c r="BB137" i="1"/>
  <c r="BF137" i="1" a="1"/>
  <c r="J219" i="2"/>
  <c r="J220" i="2"/>
  <c r="J221" i="2"/>
  <c r="J222" i="2"/>
  <c r="J223" i="2"/>
  <c r="J224" i="2"/>
  <c r="J225" i="2"/>
  <c r="J226" i="2"/>
  <c r="J227" i="2"/>
  <c r="J228" i="2"/>
  <c r="J229" i="2"/>
  <c r="J230" i="2"/>
  <c r="J231" i="2"/>
  <c r="J232" i="2"/>
  <c r="J233" i="2"/>
  <c r="J234" i="2"/>
  <c r="J235" i="2"/>
  <c r="J236" i="2"/>
  <c r="J237" i="2"/>
  <c r="A2" i="4" a="1"/>
  <c r="B28" i="3" a="1"/>
  <c r="B27" i="3" a="1"/>
  <c r="B21" i="3" a="1"/>
  <c r="B20" i="3" a="1"/>
  <c r="B14" i="3" a="1"/>
  <c r="B13" i="3" a="1"/>
  <c r="B7" i="3" a="1"/>
  <c r="B6" i="3" a="1"/>
  <c r="B5" i="3" a="1"/>
  <c r="B4" i="3" a="1"/>
  <c r="B3" i="3" a="1"/>
  <c r="B2" i="3" a="1"/>
  <c r="AW133" i="1"/>
  <c r="AZ133" i="1"/>
  <c r="BB133" i="1"/>
  <c r="BF133" i="1" a="1"/>
  <c r="AW134" i="1"/>
  <c r="AZ134" i="1"/>
  <c r="BB134" i="1"/>
  <c r="BF134" i="1" a="1"/>
  <c r="AW135" i="1"/>
  <c r="AZ135" i="1"/>
  <c r="BB135" i="1"/>
  <c r="BF135" i="1" a="1"/>
  <c r="AW132" i="1"/>
  <c r="AZ132" i="1"/>
  <c r="BB132" i="1"/>
  <c r="BC132" i="1" s="1"/>
  <c r="BF132" i="1" a="1"/>
  <c r="AW130" i="1"/>
  <c r="AZ130" i="1"/>
  <c r="BB130" i="1"/>
  <c r="BF130" i="1" a="1"/>
  <c r="AW131" i="1"/>
  <c r="AZ131" i="1"/>
  <c r="BB131" i="1"/>
  <c r="BF131" i="1" a="1"/>
  <c r="AW128" i="1"/>
  <c r="AZ128" i="1"/>
  <c r="BB128" i="1"/>
  <c r="BF128" i="1" a="1"/>
  <c r="AW129" i="1"/>
  <c r="AZ129" i="1"/>
  <c r="BB129" i="1"/>
  <c r="BF129" i="1" a="1"/>
  <c r="AW127" i="1"/>
  <c r="AZ127" i="1"/>
  <c r="BB127" i="1"/>
  <c r="BC127" i="1" s="1"/>
  <c r="BD127" i="1" s="1"/>
  <c r="BF127" i="1" a="1"/>
  <c r="AW125" i="1"/>
  <c r="AZ125" i="1"/>
  <c r="BB125" i="1"/>
  <c r="BF125" i="1" a="1"/>
  <c r="AW126" i="1"/>
  <c r="AZ126" i="1"/>
  <c r="BB126" i="1"/>
  <c r="BF126" i="1" a="1"/>
  <c r="AW124" i="1"/>
  <c r="AZ124" i="1"/>
  <c r="BB124" i="1"/>
  <c r="BC124" i="1" s="1"/>
  <c r="BD124" i="1" s="1"/>
  <c r="BF124" i="1" a="1"/>
  <c r="AW122" i="1"/>
  <c r="AZ122" i="1"/>
  <c r="BB122" i="1"/>
  <c r="BF122" i="1" a="1"/>
  <c r="AW123" i="1"/>
  <c r="AZ123" i="1"/>
  <c r="BB123" i="1"/>
  <c r="BF123" i="1" a="1"/>
  <c r="AW121" i="1"/>
  <c r="AZ121" i="1"/>
  <c r="BB121" i="1"/>
  <c r="BC121" i="1" s="1"/>
  <c r="BE121" i="1" s="1"/>
  <c r="U121" i="1" s="1"/>
  <c r="BF121" i="1" a="1"/>
  <c r="AW120" i="1"/>
  <c r="AZ120" i="1"/>
  <c r="BB120" i="1"/>
  <c r="BC120" i="1" s="1"/>
  <c r="BD120" i="1" s="1"/>
  <c r="BF120" i="1" a="1"/>
  <c r="AW116" i="1"/>
  <c r="AZ116" i="1"/>
  <c r="BB116" i="1"/>
  <c r="BF116" i="1" a="1"/>
  <c r="AW117" i="1"/>
  <c r="AZ117" i="1"/>
  <c r="BB117" i="1"/>
  <c r="BF117" i="1" a="1"/>
  <c r="AW118" i="1"/>
  <c r="AZ118" i="1"/>
  <c r="BB118" i="1"/>
  <c r="BF118" i="1" a="1"/>
  <c r="AW119" i="1"/>
  <c r="AZ119" i="1"/>
  <c r="BB119" i="1"/>
  <c r="BF119" i="1" a="1"/>
  <c r="AW114" i="1"/>
  <c r="AZ114" i="1"/>
  <c r="BB114" i="1"/>
  <c r="BF114" i="1" a="1"/>
  <c r="AW115" i="1"/>
  <c r="AZ115" i="1"/>
  <c r="BB115" i="1"/>
  <c r="BF115" i="1" a="1"/>
  <c r="AW113" i="1"/>
  <c r="AZ113" i="1"/>
  <c r="BB113" i="1"/>
  <c r="BC113" i="1" s="1"/>
  <c r="BE113" i="1" s="1"/>
  <c r="U113" i="1" s="1"/>
  <c r="BF113" i="1" a="1"/>
  <c r="AW111" i="1"/>
  <c r="AZ111" i="1"/>
  <c r="BB111" i="1"/>
  <c r="BF111" i="1" a="1"/>
  <c r="AW112" i="1"/>
  <c r="AZ112" i="1"/>
  <c r="BB112" i="1"/>
  <c r="BF112" i="1" a="1"/>
  <c r="BC153" i="1" l="1"/>
  <c r="BE153" i="1" s="1"/>
  <c r="U153" i="1" s="1"/>
  <c r="BC154" i="1"/>
  <c r="BD154" i="1" s="1"/>
  <c r="BC148" i="1"/>
  <c r="BE148" i="1" s="1"/>
  <c r="U148" i="1" s="1"/>
  <c r="BC139" i="1"/>
  <c r="BD139" i="1" s="1"/>
  <c r="BC141" i="1"/>
  <c r="BD141" i="1" s="1"/>
  <c r="BC149" i="1"/>
  <c r="BD149" i="1" s="1"/>
  <c r="BC114" i="1"/>
  <c r="BD114" i="1" s="1"/>
  <c r="BC150" i="1"/>
  <c r="BD150" i="1" s="1"/>
  <c r="BC136" i="1"/>
  <c r="BD136" i="1" s="1"/>
  <c r="BE152" i="1"/>
  <c r="U152" i="1" s="1"/>
  <c r="BE151" i="1"/>
  <c r="U151" i="1" s="1"/>
  <c r="BE147" i="1"/>
  <c r="U147" i="1" s="1"/>
  <c r="BE146" i="1"/>
  <c r="U146" i="1" s="1"/>
  <c r="BE145" i="1"/>
  <c r="U145" i="1" s="1"/>
  <c r="BC138" i="1"/>
  <c r="BE138" i="1" s="1"/>
  <c r="U138" i="1" s="1"/>
  <c r="BC137" i="1"/>
  <c r="BE137" i="1" s="1"/>
  <c r="U137" i="1" s="1"/>
  <c r="BC142" i="1"/>
  <c r="BD142" i="1" s="1"/>
  <c r="BC140" i="1"/>
  <c r="BE140" i="1" s="1"/>
  <c r="U140" i="1" s="1"/>
  <c r="BD144" i="1"/>
  <c r="BE144" i="1"/>
  <c r="U144" i="1" s="1"/>
  <c r="BD143" i="1"/>
  <c r="BC135" i="1"/>
  <c r="BD135" i="1" s="1"/>
  <c r="BC131" i="1"/>
  <c r="BD131" i="1" s="1"/>
  <c r="BC128" i="1"/>
  <c r="BD128" i="1" s="1"/>
  <c r="BC122" i="1"/>
  <c r="BD122" i="1" s="1"/>
  <c r="BC119" i="1"/>
  <c r="BD119" i="1" s="1"/>
  <c r="BC133" i="1"/>
  <c r="BD133" i="1" s="1"/>
  <c r="BC125" i="1"/>
  <c r="BD125" i="1" s="1"/>
  <c r="BC111" i="1"/>
  <c r="BE111" i="1" s="1"/>
  <c r="U111" i="1" s="1"/>
  <c r="BC134" i="1"/>
  <c r="BD134" i="1" s="1"/>
  <c r="BC116" i="1"/>
  <c r="BD116" i="1" s="1"/>
  <c r="BE116" i="1" s="1"/>
  <c r="U116" i="1" s="1"/>
  <c r="BC115" i="1"/>
  <c r="BD115" i="1" s="1"/>
  <c r="BD132" i="1"/>
  <c r="BE132" i="1"/>
  <c r="U132" i="1" s="1"/>
  <c r="BC130" i="1"/>
  <c r="BD130" i="1" s="1"/>
  <c r="BC129" i="1"/>
  <c r="BE127" i="1"/>
  <c r="U127" i="1" s="1"/>
  <c r="BC126" i="1"/>
  <c r="BC112" i="1"/>
  <c r="BD112" i="1" s="1"/>
  <c r="BC123" i="1"/>
  <c r="BD123" i="1" s="1"/>
  <c r="BC117" i="1"/>
  <c r="BD117" i="1" s="1"/>
  <c r="BE124" i="1"/>
  <c r="U124" i="1" s="1"/>
  <c r="BD121" i="1"/>
  <c r="BE120" i="1"/>
  <c r="U120" i="1" s="1"/>
  <c r="BC118" i="1"/>
  <c r="BD113" i="1"/>
  <c r="BD153" i="1" l="1"/>
  <c r="BE149" i="1"/>
  <c r="U149" i="1" s="1"/>
  <c r="BE154" i="1"/>
  <c r="U154" i="1" s="1"/>
  <c r="BD148" i="1"/>
  <c r="BE114" i="1"/>
  <c r="U114" i="1" s="1"/>
  <c r="BE141" i="1"/>
  <c r="U141" i="1" s="1"/>
  <c r="BE139" i="1"/>
  <c r="U139" i="1" s="1"/>
  <c r="BE136" i="1"/>
  <c r="U136" i="1" s="1"/>
  <c r="BE150" i="1"/>
  <c r="U150" i="1" s="1"/>
  <c r="BD137" i="1"/>
  <c r="BD138" i="1"/>
  <c r="BE142" i="1"/>
  <c r="U142" i="1" s="1"/>
  <c r="BD140" i="1"/>
  <c r="BE135" i="1"/>
  <c r="U135" i="1" s="1"/>
  <c r="BE131" i="1"/>
  <c r="U131" i="1" s="1"/>
  <c r="BE119" i="1"/>
  <c r="U119" i="1" s="1"/>
  <c r="BE128" i="1"/>
  <c r="U128" i="1" s="1"/>
  <c r="BE122" i="1"/>
  <c r="U122" i="1" s="1"/>
  <c r="BD111" i="1"/>
  <c r="BE125" i="1"/>
  <c r="U125" i="1" s="1"/>
  <c r="BE133" i="1"/>
  <c r="U133" i="1" s="1"/>
  <c r="BE134" i="1"/>
  <c r="U134" i="1" s="1"/>
  <c r="BE115" i="1"/>
  <c r="U115" i="1" s="1"/>
  <c r="BE130" i="1"/>
  <c r="U130" i="1" s="1"/>
  <c r="BD129" i="1"/>
  <c r="BE129" i="1"/>
  <c r="U129" i="1" s="1"/>
  <c r="BE112" i="1"/>
  <c r="U112" i="1" s="1"/>
  <c r="BD126" i="1"/>
  <c r="BE126" i="1"/>
  <c r="U126" i="1" s="1"/>
  <c r="BE123" i="1"/>
  <c r="U123" i="1" s="1"/>
  <c r="BE117" i="1"/>
  <c r="U117" i="1" s="1"/>
  <c r="BD118" i="1"/>
  <c r="BE118" i="1"/>
  <c r="U118" i="1" s="1"/>
  <c r="J177" i="2" l="1"/>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AW110" i="1"/>
  <c r="AZ110" i="1"/>
  <c r="BB110" i="1"/>
  <c r="BC110" i="1" s="1"/>
  <c r="BD110" i="1" s="1"/>
  <c r="BF110" i="1" a="1"/>
  <c r="AW107" i="1"/>
  <c r="AZ107" i="1"/>
  <c r="BB107" i="1"/>
  <c r="BF107" i="1" a="1"/>
  <c r="AW108" i="1"/>
  <c r="AZ108" i="1"/>
  <c r="BB108" i="1"/>
  <c r="BF108" i="1" a="1"/>
  <c r="AW109" i="1"/>
  <c r="AZ109" i="1"/>
  <c r="BB109" i="1"/>
  <c r="BF109" i="1" a="1"/>
  <c r="BC107" i="1" l="1"/>
  <c r="BD107" i="1" s="1"/>
  <c r="BC108" i="1"/>
  <c r="BE108" i="1" s="1"/>
  <c r="U108" i="1" s="1"/>
  <c r="BE110" i="1"/>
  <c r="U110" i="1" s="1"/>
  <c r="BC109" i="1"/>
  <c r="BE107" i="1" l="1"/>
  <c r="U107" i="1" s="1"/>
  <c r="BD108" i="1"/>
  <c r="BD109" i="1"/>
  <c r="BE109" i="1"/>
  <c r="U109" i="1" s="1"/>
  <c r="AW104" i="1" l="1"/>
  <c r="AZ104" i="1"/>
  <c r="BB104" i="1"/>
  <c r="BF104" i="1" a="1"/>
  <c r="AW105" i="1"/>
  <c r="AZ105" i="1"/>
  <c r="BB105" i="1"/>
  <c r="BF105" i="1" a="1"/>
  <c r="AW106" i="1"/>
  <c r="AZ106" i="1"/>
  <c r="BB106" i="1"/>
  <c r="BF106" i="1" a="1"/>
  <c r="AW103" i="1"/>
  <c r="AZ103" i="1"/>
  <c r="BB103" i="1"/>
  <c r="BC103" i="1" s="1"/>
  <c r="BD103" i="1" s="1"/>
  <c r="BF103" i="1" a="1"/>
  <c r="AW100" i="1"/>
  <c r="AZ100" i="1"/>
  <c r="BB100" i="1"/>
  <c r="BF100" i="1" a="1"/>
  <c r="AW101" i="1"/>
  <c r="AZ101" i="1"/>
  <c r="BB101" i="1"/>
  <c r="BF101" i="1" a="1"/>
  <c r="AW102" i="1"/>
  <c r="AZ102" i="1"/>
  <c r="BB102" i="1"/>
  <c r="BF102" i="1" a="1"/>
  <c r="AW98" i="1"/>
  <c r="AZ98" i="1"/>
  <c r="BB98" i="1"/>
  <c r="BC98" i="1" s="1"/>
  <c r="BD98" i="1" s="1"/>
  <c r="BF98" i="1" a="1"/>
  <c r="AW99" i="1"/>
  <c r="AZ99" i="1"/>
  <c r="BB99" i="1"/>
  <c r="BC99" i="1" s="1"/>
  <c r="BD99" i="1" s="1"/>
  <c r="BF99" i="1" a="1"/>
  <c r="J158" i="2"/>
  <c r="J159" i="2"/>
  <c r="J160" i="2"/>
  <c r="J161" i="2"/>
  <c r="J162" i="2"/>
  <c r="J163" i="2"/>
  <c r="J164" i="2"/>
  <c r="J165" i="2"/>
  <c r="J166" i="2"/>
  <c r="J167" i="2"/>
  <c r="J168" i="2"/>
  <c r="J169" i="2"/>
  <c r="J170" i="2"/>
  <c r="J171" i="2"/>
  <c r="J172" i="2"/>
  <c r="J173" i="2"/>
  <c r="J174" i="2"/>
  <c r="J175" i="2"/>
  <c r="J176" i="2"/>
  <c r="BB93" i="1"/>
  <c r="BB94" i="1"/>
  <c r="BB95" i="1"/>
  <c r="BB96" i="1"/>
  <c r="BB97" i="1"/>
  <c r="AW96" i="1"/>
  <c r="AZ96" i="1"/>
  <c r="BF96" i="1" a="1"/>
  <c r="AW97" i="1"/>
  <c r="AZ97" i="1"/>
  <c r="BF97" i="1" a="1"/>
  <c r="AW94" i="1"/>
  <c r="AZ94" i="1"/>
  <c r="BF94" i="1" a="1"/>
  <c r="AW95" i="1"/>
  <c r="AZ95" i="1"/>
  <c r="BF95" i="1" a="1"/>
  <c r="AW91" i="1"/>
  <c r="AZ91" i="1"/>
  <c r="BB91" i="1"/>
  <c r="BF91" i="1" a="1"/>
  <c r="AW92" i="1"/>
  <c r="AZ92" i="1"/>
  <c r="BB92" i="1"/>
  <c r="BF92" i="1" a="1"/>
  <c r="AW93" i="1"/>
  <c r="AZ93" i="1"/>
  <c r="BF93" i="1" a="1"/>
  <c r="AW88" i="1"/>
  <c r="AZ88" i="1"/>
  <c r="BB88" i="1"/>
  <c r="BF88" i="1" a="1"/>
  <c r="AW89" i="1"/>
  <c r="AZ89" i="1"/>
  <c r="BB89" i="1"/>
  <c r="BF89" i="1" a="1"/>
  <c r="AW90" i="1"/>
  <c r="AZ90" i="1"/>
  <c r="BB90" i="1"/>
  <c r="BF90" i="1" a="1"/>
  <c r="AW86" i="1"/>
  <c r="AZ86" i="1"/>
  <c r="BB86" i="1"/>
  <c r="BF86" i="1" a="1"/>
  <c r="AW87" i="1"/>
  <c r="AZ87" i="1"/>
  <c r="BB87" i="1"/>
  <c r="BF87" i="1" a="1"/>
  <c r="AW84" i="1"/>
  <c r="AZ84" i="1"/>
  <c r="BB84" i="1"/>
  <c r="BF84" i="1" a="1"/>
  <c r="AW85" i="1"/>
  <c r="AZ85" i="1"/>
  <c r="BB85" i="1"/>
  <c r="BF85" i="1" a="1"/>
  <c r="AW80" i="1"/>
  <c r="AZ80" i="1"/>
  <c r="BB80" i="1"/>
  <c r="BF80" i="1" a="1"/>
  <c r="AW81" i="1"/>
  <c r="AZ81" i="1"/>
  <c r="BB81" i="1"/>
  <c r="BF81" i="1" a="1"/>
  <c r="AW82" i="1"/>
  <c r="AZ82" i="1"/>
  <c r="BB82" i="1"/>
  <c r="BF82" i="1" a="1"/>
  <c r="AW83" i="1"/>
  <c r="AZ83" i="1"/>
  <c r="BB83" i="1"/>
  <c r="BF83" i="1" a="1"/>
  <c r="AW77" i="1"/>
  <c r="AZ77" i="1"/>
  <c r="BB77" i="1"/>
  <c r="BF77" i="1" a="1"/>
  <c r="AW78" i="1"/>
  <c r="AZ78" i="1"/>
  <c r="BB78" i="1"/>
  <c r="BF78" i="1" a="1"/>
  <c r="AW79" i="1"/>
  <c r="AZ79" i="1"/>
  <c r="BB79" i="1"/>
  <c r="BF79" i="1" a="1"/>
  <c r="AW75" i="1"/>
  <c r="AZ75" i="1"/>
  <c r="BB75" i="1"/>
  <c r="BF75" i="1" a="1"/>
  <c r="AW76" i="1"/>
  <c r="AZ76" i="1"/>
  <c r="BB76" i="1"/>
  <c r="BF76" i="1" a="1"/>
  <c r="BC105" i="1" l="1"/>
  <c r="BD105" i="1" s="1"/>
  <c r="BC106" i="1"/>
  <c r="BE106" i="1" s="1"/>
  <c r="U106" i="1" s="1"/>
  <c r="BC85" i="1"/>
  <c r="BD85" i="1" s="1"/>
  <c r="BC96" i="1"/>
  <c r="BD96" i="1" s="1"/>
  <c r="BC100" i="1"/>
  <c r="BE100" i="1" s="1"/>
  <c r="U100" i="1" s="1"/>
  <c r="BC101" i="1"/>
  <c r="BD101" i="1" s="1"/>
  <c r="BC102" i="1"/>
  <c r="BE102" i="1" s="1"/>
  <c r="U102" i="1" s="1"/>
  <c r="BC104" i="1"/>
  <c r="BD104" i="1" s="1"/>
  <c r="BC94" i="1"/>
  <c r="BD94" i="1" s="1"/>
  <c r="BE103" i="1"/>
  <c r="U103" i="1" s="1"/>
  <c r="BE99" i="1"/>
  <c r="U99" i="1" s="1"/>
  <c r="BE98" i="1"/>
  <c r="U98" i="1" s="1"/>
  <c r="BC86" i="1"/>
  <c r="BD86" i="1" s="1"/>
  <c r="BC93" i="1"/>
  <c r="BE93" i="1" s="1"/>
  <c r="U93" i="1" s="1"/>
  <c r="BC78" i="1"/>
  <c r="BD78" i="1" s="1"/>
  <c r="BE78" i="1" s="1"/>
  <c r="U78" i="1" s="1"/>
  <c r="BC84" i="1"/>
  <c r="BD84" i="1" s="1"/>
  <c r="BC91" i="1"/>
  <c r="BD91" i="1" s="1"/>
  <c r="BC90" i="1"/>
  <c r="BE90" i="1" s="1"/>
  <c r="U90" i="1" s="1"/>
  <c r="BC92" i="1"/>
  <c r="BD92" i="1" s="1"/>
  <c r="BC76" i="1"/>
  <c r="BD76" i="1" s="1"/>
  <c r="BC88" i="1"/>
  <c r="BD88" i="1" s="1"/>
  <c r="BC89" i="1"/>
  <c r="BD89" i="1" s="1"/>
  <c r="BC75" i="1"/>
  <c r="BD75" i="1" s="1"/>
  <c r="BC81" i="1"/>
  <c r="BD81" i="1" s="1"/>
  <c r="BC95" i="1"/>
  <c r="BD95" i="1" s="1"/>
  <c r="BC97" i="1"/>
  <c r="BC87" i="1"/>
  <c r="BD87" i="1" s="1"/>
  <c r="BC83" i="1"/>
  <c r="BC82" i="1"/>
  <c r="BC80" i="1"/>
  <c r="BC77" i="1"/>
  <c r="BC79" i="1"/>
  <c r="BE96" i="1" l="1"/>
  <c r="U96" i="1" s="1"/>
  <c r="BE105" i="1"/>
  <c r="U105" i="1" s="1"/>
  <c r="BE85" i="1"/>
  <c r="U85" i="1" s="1"/>
  <c r="BD106" i="1"/>
  <c r="BD100" i="1"/>
  <c r="BE101" i="1"/>
  <c r="U101" i="1" s="1"/>
  <c r="BD102" i="1"/>
  <c r="BE104" i="1"/>
  <c r="U104" i="1" s="1"/>
  <c r="BE94" i="1"/>
  <c r="U94" i="1" s="1"/>
  <c r="BE86" i="1"/>
  <c r="U86" i="1" s="1"/>
  <c r="BD93" i="1"/>
  <c r="BE89" i="1"/>
  <c r="U89" i="1" s="1"/>
  <c r="BE84" i="1"/>
  <c r="U84" i="1" s="1"/>
  <c r="BE91" i="1"/>
  <c r="U91" i="1" s="1"/>
  <c r="BD90" i="1"/>
  <c r="BE88" i="1"/>
  <c r="U88" i="1" s="1"/>
  <c r="BE76" i="1"/>
  <c r="U76" i="1" s="1"/>
  <c r="BE92" i="1"/>
  <c r="U92" i="1" s="1"/>
  <c r="BE81" i="1"/>
  <c r="U81" i="1" s="1"/>
  <c r="BE95" i="1"/>
  <c r="U95" i="1" s="1"/>
  <c r="BE75" i="1"/>
  <c r="U75" i="1" s="1"/>
  <c r="BD97" i="1"/>
  <c r="BE97" i="1"/>
  <c r="U97" i="1" s="1"/>
  <c r="BE87" i="1"/>
  <c r="U87" i="1" s="1"/>
  <c r="BE80" i="1"/>
  <c r="U80" i="1" s="1"/>
  <c r="BD80" i="1"/>
  <c r="BD83" i="1"/>
  <c r="BE83" i="1"/>
  <c r="U83" i="1" s="1"/>
  <c r="BD82" i="1"/>
  <c r="BE82" i="1"/>
  <c r="U82" i="1" s="1"/>
  <c r="BD77" i="1"/>
  <c r="BE77" i="1"/>
  <c r="U77" i="1" s="1"/>
  <c r="BD79" i="1"/>
  <c r="BE79" i="1"/>
  <c r="U79" i="1" s="1"/>
  <c r="AW74" i="1" l="1"/>
  <c r="AZ74" i="1"/>
  <c r="BB74" i="1"/>
  <c r="BC74" i="1" s="1"/>
  <c r="BD74" i="1" s="1"/>
  <c r="BF74" i="1" a="1"/>
  <c r="AW69" i="1"/>
  <c r="AZ69" i="1"/>
  <c r="BB69" i="1"/>
  <c r="BF69" i="1" a="1"/>
  <c r="AW70" i="1"/>
  <c r="AZ70" i="1"/>
  <c r="BB70" i="1"/>
  <c r="BF70" i="1" a="1"/>
  <c r="AW71" i="1"/>
  <c r="AZ71" i="1"/>
  <c r="BB71" i="1"/>
  <c r="BF71" i="1" a="1"/>
  <c r="AW72" i="1"/>
  <c r="AZ72" i="1"/>
  <c r="BB72" i="1"/>
  <c r="BF72" i="1" a="1"/>
  <c r="AW73" i="1"/>
  <c r="AZ73" i="1"/>
  <c r="BB73" i="1"/>
  <c r="BF73" i="1" a="1"/>
  <c r="AW68" i="1"/>
  <c r="AZ68" i="1"/>
  <c r="BB68" i="1"/>
  <c r="BF68" i="1" a="1"/>
  <c r="AW66" i="1"/>
  <c r="AZ66" i="1"/>
  <c r="BB66" i="1"/>
  <c r="BF66" i="1" a="1"/>
  <c r="AW67" i="1"/>
  <c r="AZ67" i="1"/>
  <c r="BB67" i="1"/>
  <c r="BF67" i="1" a="1"/>
  <c r="AW65" i="1"/>
  <c r="AZ65" i="1"/>
  <c r="BB65" i="1"/>
  <c r="BC65" i="1" s="1"/>
  <c r="BD65" i="1" s="1"/>
  <c r="BF65" i="1" a="1"/>
  <c r="AW63" i="1"/>
  <c r="AZ63" i="1"/>
  <c r="BB63" i="1"/>
  <c r="BF63" i="1" a="1"/>
  <c r="AW64" i="1"/>
  <c r="AZ64" i="1"/>
  <c r="BB64" i="1"/>
  <c r="BF64" i="1" a="1"/>
  <c r="AW62" i="1"/>
  <c r="AZ62" i="1"/>
  <c r="BB62" i="1"/>
  <c r="BC62" i="1" s="1"/>
  <c r="BD62" i="1" s="1"/>
  <c r="BF62" i="1" a="1"/>
  <c r="BB61" i="1"/>
  <c r="BC61" i="1" s="1"/>
  <c r="BD61" i="1" s="1"/>
  <c r="BF61" i="1" a="1"/>
  <c r="AW61" i="1"/>
  <c r="AZ61" i="1"/>
  <c r="AW58" i="1"/>
  <c r="AZ58" i="1"/>
  <c r="BB58" i="1"/>
  <c r="BF58" i="1" a="1"/>
  <c r="AW59" i="1"/>
  <c r="AZ59" i="1"/>
  <c r="BB59" i="1"/>
  <c r="BF59" i="1" a="1"/>
  <c r="AW60" i="1"/>
  <c r="AZ60" i="1"/>
  <c r="BB60" i="1"/>
  <c r="BF60" i="1" a="1"/>
  <c r="AW56" i="1"/>
  <c r="AZ56" i="1"/>
  <c r="BB56" i="1"/>
  <c r="BF56" i="1" a="1"/>
  <c r="AW57" i="1"/>
  <c r="AZ57" i="1"/>
  <c r="BB57" i="1"/>
  <c r="BF57" i="1" a="1"/>
  <c r="BC68" i="1" l="1"/>
  <c r="BD68" i="1" s="1"/>
  <c r="BC59" i="1"/>
  <c r="BD59" i="1" s="1"/>
  <c r="BC71" i="1"/>
  <c r="BD71" i="1" s="1"/>
  <c r="BC64" i="1"/>
  <c r="BD64" i="1" s="1"/>
  <c r="BE64" i="1" s="1"/>
  <c r="U64" i="1" s="1"/>
  <c r="BC56" i="1"/>
  <c r="BD56" i="1" s="1"/>
  <c r="BC58" i="1"/>
  <c r="BD58" i="1" s="1"/>
  <c r="BC57" i="1"/>
  <c r="BD57" i="1" s="1"/>
  <c r="BC67" i="1"/>
  <c r="BD67" i="1" s="1"/>
  <c r="BC63" i="1"/>
  <c r="BD63" i="1" s="1"/>
  <c r="BC66" i="1"/>
  <c r="BD66" i="1" s="1"/>
  <c r="BC60" i="1"/>
  <c r="BE60" i="1" s="1"/>
  <c r="U60" i="1" s="1"/>
  <c r="BC69" i="1"/>
  <c r="BD69" i="1" s="1"/>
  <c r="BE74" i="1"/>
  <c r="U74" i="1" s="1"/>
  <c r="BC72" i="1"/>
  <c r="BC70" i="1"/>
  <c r="BC73" i="1"/>
  <c r="BE65" i="1"/>
  <c r="U65" i="1" s="1"/>
  <c r="BE62" i="1"/>
  <c r="U62" i="1" s="1"/>
  <c r="BE61" i="1"/>
  <c r="U61" i="1" s="1"/>
  <c r="BE68" i="1" l="1"/>
  <c r="U68" i="1" s="1"/>
  <c r="BE59" i="1"/>
  <c r="U59" i="1" s="1"/>
  <c r="BE71" i="1"/>
  <c r="U71" i="1" s="1"/>
  <c r="BE57" i="1"/>
  <c r="U57" i="1" s="1"/>
  <c r="BE58" i="1"/>
  <c r="U58" i="1" s="1"/>
  <c r="BE67" i="1"/>
  <c r="U67" i="1" s="1"/>
  <c r="BE56" i="1"/>
  <c r="BE63" i="1"/>
  <c r="U63" i="1" s="1"/>
  <c r="BE66" i="1"/>
  <c r="U66" i="1" s="1"/>
  <c r="BE69" i="1"/>
  <c r="U69" i="1" s="1"/>
  <c r="BD60" i="1"/>
  <c r="BE72" i="1"/>
  <c r="U72" i="1" s="1"/>
  <c r="BD72" i="1"/>
  <c r="BD73" i="1"/>
  <c r="BE73" i="1"/>
  <c r="U73" i="1" s="1"/>
  <c r="BD70" i="1"/>
  <c r="BE70" i="1"/>
  <c r="U70" i="1" s="1"/>
  <c r="U56" i="1" l="1"/>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BF55" i="1" a="1"/>
  <c r="BB55" i="1"/>
  <c r="AZ55" i="1"/>
  <c r="BF54" i="1" a="1"/>
  <c r="BB54" i="1"/>
  <c r="AZ54" i="1"/>
  <c r="BF53" i="1" a="1"/>
  <c r="BB53" i="1"/>
  <c r="AZ53" i="1"/>
  <c r="BF52" i="1" a="1"/>
  <c r="BB52" i="1"/>
  <c r="AZ52" i="1"/>
  <c r="BF51" i="1" a="1"/>
  <c r="BB51" i="1"/>
  <c r="AZ51" i="1"/>
  <c r="BF50" i="1" a="1"/>
  <c r="BB50" i="1"/>
  <c r="AZ50" i="1"/>
  <c r="AW55" i="1"/>
  <c r="AW54" i="1"/>
  <c r="AW53" i="1"/>
  <c r="AW52" i="1"/>
  <c r="AW51" i="1"/>
  <c r="AW50" i="1"/>
  <c r="AW47" i="1"/>
  <c r="AZ47" i="1"/>
  <c r="BB47" i="1"/>
  <c r="BF47" i="1" a="1"/>
  <c r="AW48" i="1"/>
  <c r="AZ48" i="1"/>
  <c r="BB48" i="1"/>
  <c r="BF48" i="1" a="1"/>
  <c r="AW49" i="1"/>
  <c r="AZ49" i="1"/>
  <c r="BB49" i="1"/>
  <c r="BF49" i="1" a="1"/>
  <c r="AW46" i="1"/>
  <c r="AZ46" i="1"/>
  <c r="BB46" i="1"/>
  <c r="BC46" i="1" s="1"/>
  <c r="BF46" i="1" a="1"/>
  <c r="BB45" i="1"/>
  <c r="BC45" i="1" s="1"/>
  <c r="BD45" i="1" s="1"/>
  <c r="BF45" i="1" a="1"/>
  <c r="AW45" i="1"/>
  <c r="AZ45" i="1"/>
  <c r="BB44" i="1"/>
  <c r="BC44" i="1" s="1"/>
  <c r="BD44" i="1" s="1"/>
  <c r="BF44" i="1" a="1"/>
  <c r="AW44" i="1"/>
  <c r="AZ44" i="1"/>
  <c r="BB41" i="1"/>
  <c r="BC41" i="1" s="1"/>
  <c r="BD41" i="1" s="1"/>
  <c r="BF41" i="1" a="1"/>
  <c r="BB42" i="1"/>
  <c r="BF42" i="1" a="1"/>
  <c r="BB43" i="1"/>
  <c r="BF43" i="1" a="1"/>
  <c r="AW42" i="1"/>
  <c r="AZ42" i="1"/>
  <c r="AW43" i="1"/>
  <c r="AZ43" i="1"/>
  <c r="AW41" i="1"/>
  <c r="AZ41" i="1"/>
  <c r="AW39" i="1"/>
  <c r="AZ39" i="1"/>
  <c r="BB39" i="1"/>
  <c r="BF39" i="1" a="1"/>
  <c r="AW40" i="1"/>
  <c r="AZ40" i="1"/>
  <c r="BB40" i="1"/>
  <c r="BF40" i="1" a="1"/>
  <c r="AW35" i="1"/>
  <c r="AZ35" i="1"/>
  <c r="BB35" i="1"/>
  <c r="BF35" i="1" a="1"/>
  <c r="AW36" i="1"/>
  <c r="AZ36" i="1"/>
  <c r="BB36" i="1"/>
  <c r="BF36" i="1" a="1"/>
  <c r="AW37" i="1"/>
  <c r="AZ37" i="1"/>
  <c r="BB37" i="1"/>
  <c r="BF37" i="1" a="1"/>
  <c r="AW38" i="1"/>
  <c r="AZ38" i="1"/>
  <c r="BB38" i="1"/>
  <c r="BF38" i="1" a="1"/>
  <c r="AW30" i="1"/>
  <c r="AZ30" i="1"/>
  <c r="BB30" i="1"/>
  <c r="BF30" i="1" a="1"/>
  <c r="AW31" i="1"/>
  <c r="AZ31" i="1"/>
  <c r="BB31" i="1"/>
  <c r="BF31" i="1" a="1"/>
  <c r="AW32" i="1"/>
  <c r="AZ32" i="1"/>
  <c r="BB32" i="1"/>
  <c r="BF32" i="1" a="1"/>
  <c r="AW33" i="1"/>
  <c r="AZ33" i="1"/>
  <c r="BB33" i="1"/>
  <c r="BF33" i="1" a="1"/>
  <c r="AW34" i="1"/>
  <c r="AZ34" i="1"/>
  <c r="BB34" i="1"/>
  <c r="BF34" i="1" a="1"/>
  <c r="AW28" i="1"/>
  <c r="AZ28" i="1"/>
  <c r="BB28" i="1"/>
  <c r="BF28" i="1" a="1"/>
  <c r="AW29" i="1"/>
  <c r="AZ29" i="1"/>
  <c r="BB29" i="1"/>
  <c r="BF29" i="1" a="1"/>
  <c r="AW27" i="1"/>
  <c r="AZ27" i="1"/>
  <c r="BB27" i="1"/>
  <c r="BC27" i="1" s="1"/>
  <c r="BD27" i="1" s="1"/>
  <c r="BF27" i="1" a="1"/>
  <c r="AW24" i="1"/>
  <c r="AZ24" i="1"/>
  <c r="BB24" i="1"/>
  <c r="BF24" i="1" a="1"/>
  <c r="AW25" i="1"/>
  <c r="AZ25" i="1"/>
  <c r="BB25" i="1"/>
  <c r="BF25" i="1" a="1"/>
  <c r="AW26" i="1"/>
  <c r="AZ26" i="1"/>
  <c r="BB26" i="1"/>
  <c r="BF26" i="1" a="1"/>
  <c r="BF21" i="1" a="1"/>
  <c r="BF22" i="1" a="1"/>
  <c r="BF23" i="1" a="1"/>
  <c r="AW21" i="1"/>
  <c r="AZ21" i="1"/>
  <c r="BB21" i="1"/>
  <c r="AW22" i="1"/>
  <c r="AZ22" i="1"/>
  <c r="BB22" i="1"/>
  <c r="AW23" i="1"/>
  <c r="AZ23" i="1"/>
  <c r="BB23" i="1"/>
  <c r="AW17" i="1"/>
  <c r="AZ17" i="1"/>
  <c r="BB17" i="1"/>
  <c r="BC17" i="1" s="1"/>
  <c r="BD17" i="1" s="1"/>
  <c r="BF17" i="1" a="1"/>
  <c r="AW18" i="1"/>
  <c r="AZ18" i="1"/>
  <c r="BB18" i="1"/>
  <c r="BC18" i="1" s="1"/>
  <c r="BD18" i="1" s="1"/>
  <c r="BF18" i="1" a="1"/>
  <c r="AW19" i="1"/>
  <c r="AZ19" i="1"/>
  <c r="BB19" i="1"/>
  <c r="BC19" i="1" s="1"/>
  <c r="BD19" i="1" s="1"/>
  <c r="BF19" i="1" a="1"/>
  <c r="AW20" i="1"/>
  <c r="AZ20" i="1"/>
  <c r="BB20" i="1"/>
  <c r="BC20" i="1" s="1"/>
  <c r="BD20" i="1" s="1"/>
  <c r="BF20" i="1" a="1"/>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BF4" i="1" a="1"/>
  <c r="BF5" i="1" a="1"/>
  <c r="BF6" i="1" a="1"/>
  <c r="BF7" i="1" a="1"/>
  <c r="BF8" i="1" a="1"/>
  <c r="BF9" i="1" a="1"/>
  <c r="BF10" i="1" a="1"/>
  <c r="BF11" i="1" a="1"/>
  <c r="BF12" i="1" a="1"/>
  <c r="BF13" i="1" a="1"/>
  <c r="BF14" i="1" a="1"/>
  <c r="BF15" i="1" a="1"/>
  <c r="BF16" i="1" a="1"/>
  <c r="AW5" i="1"/>
  <c r="AZ5" i="1"/>
  <c r="BB5" i="1"/>
  <c r="AW6" i="1"/>
  <c r="AZ6" i="1"/>
  <c r="BB6" i="1"/>
  <c r="AW7" i="1"/>
  <c r="AZ7" i="1"/>
  <c r="BB7" i="1"/>
  <c r="AW8" i="1"/>
  <c r="AZ8" i="1"/>
  <c r="BB8" i="1"/>
  <c r="AW9" i="1"/>
  <c r="AZ9" i="1"/>
  <c r="BB9" i="1"/>
  <c r="AW10" i="1"/>
  <c r="AZ10" i="1"/>
  <c r="BB10" i="1"/>
  <c r="AW11" i="1"/>
  <c r="AZ11" i="1"/>
  <c r="BB11" i="1"/>
  <c r="AW12" i="1"/>
  <c r="AZ12" i="1"/>
  <c r="BB12" i="1"/>
  <c r="AW13" i="1"/>
  <c r="AZ13" i="1"/>
  <c r="BB13" i="1"/>
  <c r="AW14" i="1"/>
  <c r="AZ14" i="1"/>
  <c r="BB14" i="1"/>
  <c r="AW15" i="1"/>
  <c r="AZ15" i="1"/>
  <c r="BB15" i="1"/>
  <c r="AW16" i="1"/>
  <c r="AZ16" i="1"/>
  <c r="BB16" i="1"/>
  <c r="T5" i="1"/>
  <c r="J3" i="2"/>
  <c r="J4" i="2"/>
  <c r="J5" i="2"/>
  <c r="J6" i="2"/>
  <c r="J7" i="2"/>
  <c r="J8" i="2"/>
  <c r="J9" i="2"/>
  <c r="J10" i="2"/>
  <c r="J11" i="2"/>
  <c r="J12" i="2"/>
  <c r="J13" i="2"/>
  <c r="J14" i="2"/>
  <c r="J15" i="2"/>
  <c r="J16" i="2"/>
  <c r="J17" i="2"/>
  <c r="J18" i="2"/>
  <c r="J19" i="2"/>
  <c r="J20" i="2"/>
  <c r="J21" i="2"/>
  <c r="J22" i="2"/>
  <c r="J23" i="2"/>
  <c r="J24" i="2"/>
  <c r="J25" i="2"/>
  <c r="J26" i="2"/>
  <c r="J27" i="2"/>
  <c r="J28" i="2"/>
  <c r="J29" i="2"/>
  <c r="J30" i="2"/>
  <c r="BC52" i="1" l="1"/>
  <c r="BE52" i="1" s="1"/>
  <c r="U52" i="1" s="1"/>
  <c r="BC50" i="1"/>
  <c r="BE50" i="1" s="1"/>
  <c r="U50" i="1" s="1"/>
  <c r="BC51" i="1"/>
  <c r="BE51" i="1" s="1"/>
  <c r="U51" i="1" s="1"/>
  <c r="BC43" i="1"/>
  <c r="BC53" i="1"/>
  <c r="BE53" i="1" s="1"/>
  <c r="U53" i="1" s="1"/>
  <c r="BC54" i="1"/>
  <c r="BD54" i="1" s="1"/>
  <c r="BC55" i="1"/>
  <c r="BE55" i="1" s="1"/>
  <c r="U55" i="1" s="1"/>
  <c r="BC23" i="1"/>
  <c r="BD23" i="1" s="1"/>
  <c r="BC29" i="1"/>
  <c r="BD29" i="1" s="1"/>
  <c r="BC42" i="1"/>
  <c r="BD42" i="1" s="1"/>
  <c r="BC40" i="1"/>
  <c r="BD40" i="1" s="1"/>
  <c r="BC39" i="1"/>
  <c r="BD39" i="1" s="1"/>
  <c r="BC47" i="1"/>
  <c r="BD47" i="1" s="1"/>
  <c r="BC22" i="1"/>
  <c r="BD22" i="1" s="1"/>
  <c r="BC21" i="1"/>
  <c r="BD21" i="1" s="1"/>
  <c r="BC48" i="1"/>
  <c r="BD48" i="1" s="1"/>
  <c r="BC30" i="1"/>
  <c r="BD30" i="1" s="1"/>
  <c r="BC24" i="1"/>
  <c r="BD24" i="1" s="1"/>
  <c r="BC28" i="1"/>
  <c r="BD28" i="1" s="1"/>
  <c r="BC25" i="1"/>
  <c r="BE25" i="1" s="1"/>
  <c r="U25" i="1" s="1"/>
  <c r="BC26" i="1"/>
  <c r="BD26" i="1" s="1"/>
  <c r="BC10" i="1"/>
  <c r="BD10" i="1" s="1"/>
  <c r="BC35" i="1"/>
  <c r="BE35" i="1" s="1"/>
  <c r="U35" i="1" s="1"/>
  <c r="BC49" i="1"/>
  <c r="BD46" i="1"/>
  <c r="BE46" i="1"/>
  <c r="U46" i="1" s="1"/>
  <c r="BE45" i="1"/>
  <c r="U45" i="1" s="1"/>
  <c r="BE44" i="1"/>
  <c r="U44" i="1" s="1"/>
  <c r="BE41" i="1"/>
  <c r="U41" i="1" s="1"/>
  <c r="BC38" i="1"/>
  <c r="BC36" i="1"/>
  <c r="BC37" i="1"/>
  <c r="BC33" i="1"/>
  <c r="BC31" i="1"/>
  <c r="BC34" i="1"/>
  <c r="BC32" i="1"/>
  <c r="BE27" i="1"/>
  <c r="U27" i="1" s="1"/>
  <c r="BE20" i="1"/>
  <c r="U20" i="1" s="1"/>
  <c r="BE19" i="1"/>
  <c r="U19" i="1" s="1"/>
  <c r="BE18" i="1"/>
  <c r="U18" i="1" s="1"/>
  <c r="BE17" i="1"/>
  <c r="U17" i="1" s="1"/>
  <c r="BC9" i="1"/>
  <c r="BE9" i="1" s="1"/>
  <c r="U9" i="1" s="1"/>
  <c r="BC16" i="1"/>
  <c r="BD16" i="1" s="1"/>
  <c r="BC6" i="1"/>
  <c r="BD6" i="1" s="1"/>
  <c r="BC15" i="1"/>
  <c r="BD15" i="1" s="1"/>
  <c r="BC7" i="1"/>
  <c r="BE7" i="1" s="1"/>
  <c r="U7" i="1" s="1"/>
  <c r="BC13" i="1"/>
  <c r="BD13" i="1" s="1"/>
  <c r="BC12" i="1"/>
  <c r="BD12" i="1" s="1"/>
  <c r="BC14" i="1"/>
  <c r="BC11" i="1"/>
  <c r="BC8" i="1"/>
  <c r="AZ4" i="1"/>
  <c r="AZ3" i="1"/>
  <c r="J2" i="2"/>
  <c r="BD52" i="1" l="1"/>
  <c r="BD50" i="1"/>
  <c r="BD43" i="1"/>
  <c r="BE43" i="1" s="1"/>
  <c r="U43" i="1" s="1"/>
  <c r="BD51" i="1"/>
  <c r="BE39" i="1"/>
  <c r="U39" i="1" s="1"/>
  <c r="BD53" i="1"/>
  <c r="BD25" i="1"/>
  <c r="BE54" i="1"/>
  <c r="U54" i="1" s="1"/>
  <c r="BD55" i="1"/>
  <c r="BE29" i="1"/>
  <c r="U29" i="1" s="1"/>
  <c r="BE23" i="1"/>
  <c r="U23" i="1" s="1"/>
  <c r="BE21" i="1"/>
  <c r="U21" i="1" s="1"/>
  <c r="BE42" i="1"/>
  <c r="U42" i="1" s="1"/>
  <c r="BE47" i="1"/>
  <c r="U47" i="1" s="1"/>
  <c r="BE28" i="1"/>
  <c r="U28" i="1" s="1"/>
  <c r="BE22" i="1"/>
  <c r="U22" i="1" s="1"/>
  <c r="BE26" i="1"/>
  <c r="U26" i="1" s="1"/>
  <c r="BE48" i="1"/>
  <c r="U48" i="1" s="1"/>
  <c r="BE10" i="1"/>
  <c r="U10" i="1" s="1"/>
  <c r="BE40" i="1"/>
  <c r="U40" i="1" s="1"/>
  <c r="BE30" i="1"/>
  <c r="U30" i="1" s="1"/>
  <c r="BD35" i="1"/>
  <c r="BE24" i="1"/>
  <c r="U24" i="1" s="1"/>
  <c r="BD49" i="1"/>
  <c r="BE49" i="1"/>
  <c r="U49" i="1" s="1"/>
  <c r="BE37" i="1"/>
  <c r="U37" i="1" s="1"/>
  <c r="BD37" i="1"/>
  <c r="BD36" i="1"/>
  <c r="BE36" i="1"/>
  <c r="U36" i="1" s="1"/>
  <c r="BD38" i="1"/>
  <c r="BE38" i="1"/>
  <c r="U38" i="1" s="1"/>
  <c r="BD32" i="1"/>
  <c r="BE32" i="1"/>
  <c r="U32" i="1" s="1"/>
  <c r="BD31" i="1"/>
  <c r="BE31" i="1"/>
  <c r="U31" i="1" s="1"/>
  <c r="BD34" i="1"/>
  <c r="BE34" i="1"/>
  <c r="U34" i="1" s="1"/>
  <c r="BE33" i="1"/>
  <c r="U33" i="1" s="1"/>
  <c r="BD33" i="1"/>
  <c r="BE16" i="1"/>
  <c r="U16" i="1" s="1"/>
  <c r="BD9" i="1"/>
  <c r="BE15" i="1"/>
  <c r="U15" i="1" s="1"/>
  <c r="BD7" i="1"/>
  <c r="BE13" i="1"/>
  <c r="U13" i="1" s="1"/>
  <c r="BE6" i="1"/>
  <c r="U6" i="1" s="1"/>
  <c r="BE12" i="1"/>
  <c r="U12" i="1" s="1"/>
  <c r="BE14" i="1"/>
  <c r="U14" i="1" s="1"/>
  <c r="BD14" i="1"/>
  <c r="BE11" i="1"/>
  <c r="U11" i="1" s="1"/>
  <c r="BD11" i="1"/>
  <c r="BD8" i="1"/>
  <c r="BE8" i="1"/>
  <c r="U8" i="1" s="1"/>
  <c r="BF3" i="1" l="1" a="1"/>
  <c r="AW4" i="1" l="1"/>
  <c r="AW3" i="1"/>
  <c r="BB4" i="1" l="1"/>
  <c r="BB3" i="1"/>
  <c r="T4" i="1"/>
  <c r="W3" i="1"/>
  <c r="W4" i="1" s="1"/>
  <c r="W5" i="1" s="1"/>
  <c r="W6" i="1" s="1"/>
  <c r="W7" i="1" s="1"/>
  <c r="W8" i="1" s="1"/>
  <c r="W9" i="1" s="1"/>
  <c r="W10" i="1" s="1"/>
  <c r="W11" i="1" s="1"/>
  <c r="W12" i="1" s="1"/>
  <c r="W13" i="1" s="1"/>
  <c r="W14" i="1" s="1"/>
  <c r="W15" i="1" s="1"/>
  <c r="W16" i="1" s="1"/>
  <c r="W17" i="1" s="1"/>
  <c r="W18" i="1" s="1"/>
  <c r="W19" i="1" s="1"/>
  <c r="W20" i="1" s="1"/>
  <c r="W21" i="1" s="1"/>
  <c r="W22" i="1" s="1"/>
  <c r="W23" i="1" s="1"/>
  <c r="W24" i="1" s="1"/>
  <c r="W25" i="1" s="1"/>
  <c r="W26" i="1" s="1"/>
  <c r="W27" i="1" s="1"/>
  <c r="W28" i="1" s="1"/>
  <c r="W29" i="1" s="1"/>
  <c r="W30" i="1" s="1"/>
  <c r="W31" i="1" s="1"/>
  <c r="W32" i="1" s="1"/>
  <c r="W33" i="1" s="1"/>
  <c r="W34" i="1" s="1"/>
  <c r="W35" i="1" s="1"/>
  <c r="W36" i="1" s="1"/>
  <c r="W37" i="1" s="1"/>
  <c r="W38" i="1" s="1"/>
  <c r="W39" i="1" s="1"/>
  <c r="W40" i="1" s="1"/>
  <c r="W41" i="1" s="1"/>
  <c r="W42" i="1" s="1"/>
  <c r="W43" i="1" s="1"/>
  <c r="W44" i="1" s="1"/>
  <c r="W45" i="1" s="1"/>
  <c r="W46" i="1" s="1"/>
  <c r="W47" i="1" s="1"/>
  <c r="W48" i="1" s="1"/>
  <c r="W49" i="1" s="1"/>
  <c r="W50" i="1" s="1"/>
  <c r="W51" i="1" s="1"/>
  <c r="W52" i="1" s="1"/>
  <c r="W53" i="1" s="1"/>
  <c r="W54" i="1" s="1"/>
  <c r="W55" i="1" s="1"/>
  <c r="W56" i="1" s="1"/>
  <c r="W57" i="1" s="1"/>
  <c r="W58" i="1" s="1"/>
  <c r="W59" i="1" s="1"/>
  <c r="W60" i="1" s="1"/>
  <c r="W61" i="1" s="1"/>
  <c r="W62" i="1" s="1"/>
  <c r="W63" i="1" s="1"/>
  <c r="W64" i="1" s="1"/>
  <c r="W65" i="1" s="1"/>
  <c r="W66" i="1" s="1"/>
  <c r="W67" i="1" s="1"/>
  <c r="W68" i="1" s="1"/>
  <c r="W69" i="1" s="1"/>
  <c r="W70" i="1" s="1"/>
  <c r="W71" i="1" s="1"/>
  <c r="W72" i="1" s="1"/>
  <c r="W73" i="1" s="1"/>
  <c r="W74" i="1" s="1"/>
  <c r="W75" i="1" s="1"/>
  <c r="W76" i="1" s="1"/>
  <c r="W77" i="1" s="1"/>
  <c r="W78" i="1" s="1"/>
  <c r="W79" i="1" s="1"/>
  <c r="W80" i="1" s="1"/>
  <c r="W81" i="1" s="1"/>
  <c r="W82" i="1" s="1"/>
  <c r="W83" i="1" s="1"/>
  <c r="W84" i="1" s="1"/>
  <c r="W85" i="1" s="1"/>
  <c r="W86" i="1" s="1"/>
  <c r="W87" i="1" s="1"/>
  <c r="W88" i="1" s="1"/>
  <c r="W89" i="1" s="1"/>
  <c r="W90" i="1" s="1"/>
  <c r="W91" i="1" s="1"/>
  <c r="W92" i="1" s="1"/>
  <c r="W93" i="1" s="1"/>
  <c r="W94" i="1" s="1"/>
  <c r="W95" i="1" s="1"/>
  <c r="W96" i="1" s="1"/>
  <c r="W97" i="1" s="1"/>
  <c r="W98" i="1" s="1"/>
  <c r="W99" i="1" s="1"/>
  <c r="W100" i="1" s="1"/>
  <c r="W101" i="1" s="1"/>
  <c r="W102" i="1" s="1"/>
  <c r="W103" i="1" s="1"/>
  <c r="W104" i="1" s="1"/>
  <c r="W105" i="1" s="1"/>
  <c r="W106" i="1" s="1"/>
  <c r="W107" i="1" s="1"/>
  <c r="W108" i="1" s="1"/>
  <c r="W109" i="1" s="1"/>
  <c r="W110" i="1" s="1"/>
  <c r="W111" i="1" s="1"/>
  <c r="W112" i="1" s="1"/>
  <c r="W113" i="1" s="1"/>
  <c r="W114" i="1" s="1"/>
  <c r="W115" i="1" s="1"/>
  <c r="W116" i="1" s="1"/>
  <c r="W117" i="1" s="1"/>
  <c r="W118" i="1" s="1"/>
  <c r="W119" i="1" s="1"/>
  <c r="W120" i="1" s="1"/>
  <c r="W121" i="1" s="1"/>
  <c r="W122" i="1" s="1"/>
  <c r="W123" i="1" s="1"/>
  <c r="W124" i="1" s="1"/>
  <c r="W125" i="1" s="1"/>
  <c r="W126" i="1" s="1"/>
  <c r="W127" i="1" s="1"/>
  <c r="W128" i="1" s="1"/>
  <c r="W129" i="1" s="1"/>
  <c r="W130" i="1" s="1"/>
  <c r="W131" i="1" s="1"/>
  <c r="W132" i="1" s="1"/>
  <c r="W133" i="1" s="1"/>
  <c r="W134" i="1" s="1"/>
  <c r="W135" i="1" s="1"/>
  <c r="W136" i="1" s="1"/>
  <c r="W137" i="1" s="1"/>
  <c r="W138" i="1" s="1"/>
  <c r="W139" i="1" s="1"/>
  <c r="W140" i="1" s="1"/>
  <c r="W141" i="1" s="1"/>
  <c r="W142" i="1" s="1"/>
  <c r="W143" i="1" s="1"/>
  <c r="W144" i="1" s="1"/>
  <c r="W145" i="1" s="1"/>
  <c r="W146" i="1" s="1"/>
  <c r="W147" i="1" s="1"/>
  <c r="W148" i="1" s="1"/>
  <c r="W149" i="1" s="1"/>
  <c r="W150" i="1" s="1"/>
  <c r="W151" i="1" s="1"/>
  <c r="W152" i="1" s="1"/>
  <c r="W153" i="1" s="1"/>
  <c r="W154" i="1" s="1"/>
  <c r="W155" i="1" s="1"/>
  <c r="W156" i="1" s="1"/>
  <c r="W157" i="1" s="1"/>
  <c r="W158" i="1" s="1"/>
  <c r="W159" i="1" s="1"/>
  <c r="W160" i="1" s="1"/>
  <c r="W161" i="1" s="1"/>
  <c r="W162" i="1" s="1"/>
  <c r="W163" i="1" s="1"/>
  <c r="W164" i="1" s="1"/>
  <c r="W165" i="1" s="1"/>
  <c r="W166" i="1" s="1"/>
  <c r="W167" i="1" s="1"/>
  <c r="W168" i="1" s="1"/>
  <c r="W169" i="1" s="1"/>
  <c r="W170" i="1" s="1"/>
  <c r="W171" i="1" s="1"/>
  <c r="W172" i="1" s="1"/>
  <c r="W173" i="1" s="1"/>
  <c r="W174" i="1" s="1"/>
  <c r="W175" i="1" s="1"/>
  <c r="W176" i="1" s="1"/>
  <c r="W177" i="1" s="1"/>
  <c r="W178" i="1" s="1"/>
  <c r="W179" i="1" s="1"/>
  <c r="W180" i="1" s="1"/>
  <c r="W181" i="1" s="1"/>
  <c r="W182" i="1" s="1"/>
  <c r="W183" i="1" s="1"/>
  <c r="W184" i="1" s="1"/>
  <c r="W185" i="1" s="1"/>
  <c r="W186" i="1" s="1"/>
  <c r="W187" i="1" s="1"/>
  <c r="W188" i="1" s="1"/>
  <c r="W189" i="1" s="1"/>
  <c r="W190" i="1" s="1"/>
  <c r="W191" i="1" s="1"/>
  <c r="W192" i="1" s="1"/>
  <c r="W193" i="1" s="1"/>
  <c r="W194" i="1" s="1"/>
  <c r="W195" i="1" s="1"/>
  <c r="W196" i="1" s="1"/>
  <c r="W197" i="1" s="1"/>
  <c r="W198" i="1" s="1"/>
  <c r="W199" i="1" s="1"/>
  <c r="W200" i="1" s="1"/>
  <c r="W201" i="1" s="1"/>
  <c r="W202" i="1" s="1"/>
  <c r="W203" i="1" s="1"/>
  <c r="W204" i="1" s="1"/>
  <c r="W205" i="1" s="1"/>
  <c r="W206" i="1" s="1"/>
  <c r="W207" i="1" s="1"/>
  <c r="W208" i="1" s="1"/>
  <c r="W209" i="1" s="1"/>
  <c r="W210" i="1" s="1"/>
  <c r="W211" i="1" s="1"/>
  <c r="W212" i="1" s="1"/>
  <c r="W213" i="1" s="1"/>
  <c r="W214" i="1" s="1"/>
  <c r="W215" i="1" s="1"/>
  <c r="W216" i="1" s="1"/>
  <c r="W217" i="1" s="1"/>
  <c r="W218" i="1" s="1"/>
  <c r="W219" i="1" s="1"/>
  <c r="W220" i="1" s="1"/>
  <c r="W221" i="1" s="1"/>
  <c r="W222" i="1" s="1"/>
  <c r="W223" i="1" s="1"/>
  <c r="W224" i="1" s="1"/>
  <c r="W225" i="1" s="1"/>
  <c r="W226" i="1" s="1"/>
  <c r="W227" i="1" s="1"/>
  <c r="W228" i="1" s="1"/>
  <c r="W229" i="1" s="1"/>
  <c r="W230" i="1" s="1"/>
  <c r="W231" i="1" s="1"/>
  <c r="W232" i="1" s="1"/>
  <c r="W233" i="1" s="1"/>
  <c r="W234" i="1" s="1"/>
  <c r="W235" i="1" s="1"/>
  <c r="W236" i="1" s="1"/>
  <c r="W237" i="1" s="1"/>
  <c r="W238" i="1" s="1"/>
  <c r="W239" i="1" s="1"/>
  <c r="W240" i="1" s="1"/>
  <c r="W241" i="1" s="1"/>
  <c r="W242" i="1" s="1"/>
  <c r="W243" i="1" s="1"/>
  <c r="W244" i="1" s="1"/>
  <c r="W245" i="1" s="1"/>
  <c r="W246" i="1" s="1"/>
  <c r="W247" i="1" s="1"/>
  <c r="W248" i="1" s="1"/>
  <c r="W249" i="1" s="1"/>
  <c r="W250" i="1" s="1"/>
  <c r="W251" i="1" s="1"/>
  <c r="W252" i="1" s="1"/>
  <c r="W253" i="1" s="1"/>
  <c r="W254" i="1" s="1"/>
  <c r="W255" i="1" s="1"/>
  <c r="W256" i="1" s="1"/>
  <c r="W257" i="1" s="1"/>
  <c r="W258" i="1" s="1"/>
  <c r="W259" i="1" s="1"/>
  <c r="W260" i="1" s="1"/>
  <c r="W261" i="1" s="1"/>
  <c r="W262" i="1" s="1"/>
  <c r="W263" i="1" s="1"/>
  <c r="W264" i="1" s="1"/>
  <c r="W265" i="1" s="1"/>
  <c r="W266" i="1" s="1"/>
  <c r="W267" i="1" s="1"/>
  <c r="W268" i="1" s="1"/>
  <c r="W269" i="1" s="1"/>
  <c r="W270" i="1" s="1"/>
  <c r="W271" i="1" s="1"/>
  <c r="W272" i="1" s="1"/>
  <c r="W273" i="1" s="1"/>
  <c r="W274" i="1" s="1"/>
  <c r="W275" i="1" s="1"/>
  <c r="W276" i="1" s="1"/>
  <c r="W277" i="1" s="1"/>
  <c r="W278" i="1" s="1"/>
  <c r="W279" i="1" s="1"/>
  <c r="W280" i="1" s="1"/>
  <c r="W281" i="1" s="1"/>
  <c r="W282" i="1" s="1"/>
  <c r="W283" i="1" s="1"/>
  <c r="W284" i="1" s="1"/>
  <c r="W285" i="1" s="1"/>
  <c r="W286" i="1" s="1"/>
  <c r="W287" i="1" s="1"/>
  <c r="W288" i="1" s="1"/>
  <c r="W289" i="1" s="1"/>
  <c r="W290" i="1" s="1"/>
  <c r="W291" i="1" s="1"/>
  <c r="W292" i="1" s="1"/>
  <c r="W293" i="1" s="1"/>
  <c r="W294" i="1" s="1"/>
  <c r="W295" i="1" s="1"/>
  <c r="W296" i="1" s="1"/>
  <c r="W297" i="1" s="1"/>
  <c r="W298" i="1" s="1"/>
  <c r="W299" i="1" s="1"/>
  <c r="W300" i="1" s="1"/>
  <c r="W301" i="1" s="1"/>
  <c r="W302" i="1" s="1"/>
  <c r="W303" i="1" s="1"/>
  <c r="W304" i="1" s="1"/>
  <c r="W305" i="1" s="1"/>
  <c r="W306" i="1" s="1"/>
  <c r="W307" i="1" s="1"/>
  <c r="W308" i="1" s="1"/>
  <c r="W309" i="1" s="1"/>
  <c r="W310" i="1" s="1"/>
  <c r="W311" i="1" s="1"/>
  <c r="W312" i="1" s="1"/>
  <c r="W313" i="1" s="1"/>
  <c r="W314" i="1" s="1"/>
  <c r="W315" i="1" s="1"/>
  <c r="W316" i="1" s="1"/>
  <c r="T3" i="1"/>
  <c r="BC3" i="1" l="1"/>
  <c r="BE3" i="1" s="1"/>
  <c r="U3" i="1" s="1"/>
  <c r="BC5" i="1"/>
  <c r="BC4" i="1"/>
  <c r="BE4" i="1" s="1"/>
  <c r="U4" i="1" s="1"/>
  <c r="J4" i="3" l="1" a="1"/>
  <c r="AA4" i="3" a="1"/>
  <c r="W7" i="3" a="1"/>
  <c r="V3" i="1"/>
  <c r="Z3" i="1" s="1"/>
  <c r="D2" i="3" a="1"/>
  <c r="BD3" i="1"/>
  <c r="BD5" i="1"/>
  <c r="BE5" i="1"/>
  <c r="U5" i="1" s="1"/>
  <c r="D28" i="3" s="1" a="1"/>
  <c r="BD4" i="1"/>
  <c r="D4" i="3" l="1" a="1"/>
  <c r="D13" i="3" a="1"/>
  <c r="D5" i="3" a="1"/>
  <c r="J21" i="3" a="1"/>
  <c r="P14" i="3" a="1"/>
  <c r="P27" i="3" a="1"/>
  <c r="AH6" i="3" a="1"/>
  <c r="Q6" i="3" a="1"/>
  <c r="D21" i="3" a="1"/>
  <c r="Z4" i="3" a="1"/>
  <c r="O27" i="3" a="1"/>
  <c r="AE27" i="3" a="1"/>
  <c r="L5" i="3" a="1"/>
  <c r="H4" i="3" a="1"/>
  <c r="M14" i="3" a="1"/>
  <c r="S2" i="3" a="1"/>
  <c r="I13" i="3" a="1"/>
  <c r="AE2" i="3" a="1"/>
  <c r="AG7" i="3" a="1"/>
  <c r="I27" i="3" a="1"/>
  <c r="S4" i="3" a="1"/>
  <c r="Y3" i="1"/>
  <c r="R21" i="3" a="1"/>
  <c r="W20" i="3" a="1"/>
  <c r="M5" i="3" a="1"/>
  <c r="G4" i="3" a="1"/>
  <c r="N3" i="3" a="1"/>
  <c r="AG28" i="3" a="1"/>
  <c r="AF9" i="3" a="1"/>
  <c r="AE16" i="3" a="1"/>
  <c r="AG21" i="3" a="1"/>
  <c r="AC3" i="3" a="1"/>
  <c r="AH13" i="3" a="1"/>
  <c r="AA23" i="3" a="1"/>
  <c r="AH7" i="3" a="1"/>
  <c r="AI2" i="3" a="1"/>
  <c r="Y21" i="3" a="1"/>
  <c r="R20" i="3" a="1"/>
  <c r="T27" i="3" a="1"/>
  <c r="AA3" i="3" a="1"/>
  <c r="X21" i="3" a="1"/>
  <c r="S3" i="3" a="1"/>
  <c r="AA5" i="3" a="1"/>
  <c r="AD16" i="3" a="1"/>
  <c r="W30" i="3" a="1"/>
  <c r="AC16" i="3" a="1"/>
  <c r="T28" i="3" a="1"/>
  <c r="O7" i="3" a="1"/>
  <c r="AC28" i="3" a="1"/>
  <c r="J6" i="3" a="1"/>
  <c r="M20" i="3" a="1"/>
  <c r="K2" i="3" a="1"/>
  <c r="Y6" i="3" a="1"/>
  <c r="O21" i="3" a="1"/>
  <c r="K3" i="3" a="1"/>
  <c r="W6" i="3" a="1"/>
  <c r="G28" i="3" a="1"/>
  <c r="Q5" i="3" a="1"/>
  <c r="D27" i="3" a="1"/>
  <c r="AH14" i="3" a="1"/>
  <c r="Q20" i="3" a="1"/>
  <c r="R6" i="3" a="1"/>
  <c r="T7" i="3" a="1"/>
  <c r="AF2" i="3" a="1"/>
  <c r="J5" i="3" a="1"/>
  <c r="AB14" i="3" a="1"/>
  <c r="AF27" i="3" a="1"/>
  <c r="AA14" i="3" a="1"/>
  <c r="AC23" i="3" a="1"/>
  <c r="AB6" i="3" a="1"/>
  <c r="L28" i="3" a="1"/>
  <c r="W5" i="3" a="1"/>
  <c r="Z16" i="3" a="1"/>
  <c r="Y30" i="3" a="1"/>
  <c r="H6" i="3" a="1"/>
  <c r="AB20" i="3" a="1"/>
  <c r="X2" i="3" a="1"/>
  <c r="AI5" i="3" a="1"/>
  <c r="S27" i="3" a="1"/>
  <c r="AD4" i="3" a="1"/>
  <c r="AC21" i="3" a="1"/>
  <c r="Q14" i="3" a="1"/>
  <c r="J13" i="3" a="1"/>
  <c r="AI6" i="3" a="1"/>
  <c r="AB23" i="3" a="1"/>
  <c r="K13" i="3" a="1"/>
  <c r="G21" i="3" a="1"/>
  <c r="D14" i="3" a="1"/>
  <c r="AE5" i="3" a="1"/>
  <c r="X9" i="3" a="1"/>
  <c r="I21" i="3" a="1"/>
  <c r="AG6" i="3" a="1"/>
  <c r="S20" i="3" a="1"/>
  <c r="P2" i="3" a="1"/>
  <c r="W4" i="3" a="1"/>
  <c r="K14" i="3" a="1"/>
  <c r="P28" i="3" a="1"/>
  <c r="J14" i="3" a="1"/>
  <c r="AI30" i="3" a="1"/>
  <c r="K6" i="3" a="1"/>
  <c r="Y27" i="3" a="1"/>
  <c r="AI4" i="3" a="1"/>
  <c r="X14" i="3" a="1"/>
  <c r="J28" i="3" a="1"/>
  <c r="T5" i="3" a="1"/>
  <c r="K20" i="3" a="1"/>
  <c r="I2" i="3" a="1"/>
  <c r="R5" i="3" a="1"/>
  <c r="AF23" i="3" a="1"/>
  <c r="M4" i="3" a="1"/>
  <c r="R14" i="3" a="1"/>
  <c r="AD13" i="3" a="1"/>
  <c r="O14" i="3" a="1"/>
  <c r="Z23" i="3" a="1"/>
  <c r="AB13" i="3" a="1"/>
  <c r="W9" i="3" a="1"/>
  <c r="Z21" i="3" a="1"/>
  <c r="D20" i="3" a="1"/>
  <c r="N5" i="3" a="1"/>
  <c r="V7" i="3" a="1"/>
  <c r="AI28" i="3" a="1"/>
  <c r="P6" i="3" a="1"/>
  <c r="AF16" i="3" a="1"/>
  <c r="AE23" i="3" a="1"/>
  <c r="AI3" i="3" a="1"/>
  <c r="X13" i="3" a="1"/>
  <c r="Y23" i="3" a="1"/>
  <c r="W13" i="3" a="1"/>
  <c r="AD28" i="3" a="1"/>
  <c r="X5" i="3" a="1"/>
  <c r="H27" i="3" a="1"/>
  <c r="R4" i="3" a="1"/>
  <c r="G14" i="3" a="1"/>
  <c r="W27" i="3" a="1"/>
  <c r="AG4" i="3" a="1"/>
  <c r="X16" i="3" a="1"/>
  <c r="AA28" i="3" a="1"/>
  <c r="AE4" i="3" a="1"/>
  <c r="AD21" i="3" a="1"/>
  <c r="Z3" i="3" a="1"/>
  <c r="N13" i="3" a="1"/>
  <c r="M13" i="3" a="1"/>
  <c r="R28" i="3" a="1"/>
  <c r="AC5" i="3" a="1"/>
  <c r="AD14" i="3" a="1"/>
  <c r="V30" i="3" a="1"/>
  <c r="R3" i="3" a="1"/>
  <c r="G13" i="3" a="1"/>
  <c r="AI20" i="3" a="1"/>
  <c r="AI9" i="3" a="1"/>
  <c r="Z27" i="3" a="1"/>
  <c r="G5" i="3" a="1"/>
  <c r="AI21" i="3" a="1"/>
  <c r="AE3" i="3" a="1"/>
  <c r="S13" i="3" a="1"/>
  <c r="AI23" i="3" a="1"/>
  <c r="P4" i="3" a="1"/>
  <c r="V14" i="3" a="1"/>
  <c r="Y28" i="3" a="1"/>
  <c r="N4" i="3" a="1"/>
  <c r="M21" i="3" a="1"/>
  <c r="I3" i="3" a="1"/>
  <c r="AA9" i="3" a="1"/>
  <c r="Z9" i="3" a="1"/>
  <c r="Z20" i="3" a="1"/>
  <c r="G2" i="3" a="1"/>
  <c r="H7" i="3" a="1"/>
  <c r="X7" i="3" a="1"/>
  <c r="D3" i="3" a="1"/>
  <c r="AA21" i="3" a="1"/>
  <c r="W3" i="3" a="1"/>
  <c r="AD5" i="3" a="1"/>
  <c r="N27" i="3" a="1"/>
  <c r="Y4" i="3" a="1"/>
  <c r="Z13" i="3" a="1"/>
  <c r="W21" i="3" a="1"/>
  <c r="O2" i="3" a="1"/>
  <c r="Q7" i="3" a="1"/>
  <c r="AH30" i="3" a="1"/>
  <c r="P7" i="3" a="1"/>
  <c r="V23" i="3" a="1"/>
  <c r="AF3" i="3" a="1"/>
  <c r="AE20" i="3" a="1"/>
  <c r="AA2" i="3" a="1"/>
  <c r="AD7" i="3" a="1"/>
  <c r="P21" i="3" a="1"/>
  <c r="L3" i="3" a="1"/>
  <c r="Q13" i="3" a="1"/>
  <c r="AE21" i="3" a="1"/>
  <c r="J3" i="3" a="1"/>
  <c r="I20" i="3" a="1"/>
  <c r="Y20" i="3" a="1"/>
  <c r="AG5" i="3" a="1"/>
  <c r="G7" i="3" a="1"/>
  <c r="L27" i="3" a="1"/>
  <c r="AD6" i="3" a="1"/>
  <c r="AG30" i="3" a="1"/>
  <c r="AC6" i="3" a="1"/>
  <c r="S21" i="3" a="1"/>
  <c r="O3" i="3" a="1"/>
  <c r="N20" i="3" a="1"/>
  <c r="L2" i="3" a="1"/>
  <c r="M7" i="3" a="1"/>
  <c r="AC20" i="3" a="1"/>
  <c r="Y2" i="3" a="1"/>
  <c r="AD9" i="3" a="1"/>
  <c r="AA20" i="3" a="1"/>
  <c r="W2" i="3" a="1"/>
  <c r="V16" i="3" a="1"/>
  <c r="AE13" i="3" a="1"/>
  <c r="X30" i="3" a="1"/>
  <c r="S6" i="3" a="1"/>
  <c r="V9" i="3" a="1"/>
  <c r="AC14" i="3" a="1"/>
  <c r="AF28" i="3" a="1"/>
  <c r="M6" i="3" a="1"/>
  <c r="AE28" i="3" a="1"/>
  <c r="L6" i="3" a="1"/>
  <c r="AF20" i="3" a="1"/>
  <c r="AB2" i="3" a="1"/>
  <c r="AA16" i="3" a="1"/>
  <c r="AD30" i="3" a="1"/>
  <c r="Z6" i="3" a="1"/>
  <c r="L20" i="3" a="1"/>
  <c r="J2" i="3" a="1"/>
  <c r="AB7" i="3" a="1"/>
  <c r="J20" i="3" a="1"/>
  <c r="H2" i="3" a="1"/>
  <c r="S14" i="3" a="1"/>
  <c r="Y7" i="3" a="1"/>
  <c r="V28" i="3" a="1"/>
  <c r="AF5" i="3" a="1"/>
  <c r="T3" i="3" a="1"/>
  <c r="AI16" i="3" a="1"/>
  <c r="W28" i="3" a="1"/>
  <c r="I4" i="3" a="1"/>
  <c r="H21" i="3" a="1"/>
  <c r="AG2" i="3" a="1"/>
  <c r="S7" i="3" a="1"/>
  <c r="L14" i="3" a="1"/>
  <c r="O28" i="3" a="1"/>
  <c r="Z5" i="3" a="1"/>
  <c r="N28" i="3" a="1"/>
  <c r="Y5" i="3" a="1"/>
  <c r="O20" i="3" a="1"/>
  <c r="M2" i="3" a="1"/>
  <c r="Y14" i="3" a="1"/>
  <c r="AB28" i="3" a="1"/>
  <c r="I6" i="3" a="1"/>
  <c r="Y16" i="3" a="1"/>
  <c r="AI27" i="3" a="1"/>
  <c r="K7" i="3" a="1"/>
  <c r="W16" i="3" a="1"/>
  <c r="AC30" i="3" a="1"/>
  <c r="AF13" i="3" a="1"/>
  <c r="T6" i="3" a="1"/>
  <c r="AH27" i="3" a="1"/>
  <c r="O5" i="3" a="1"/>
  <c r="D6" i="3" a="1"/>
  <c r="D7" i="3" a="1"/>
  <c r="AG14" i="3" a="1"/>
  <c r="AI14" i="3" a="1"/>
  <c r="V3" i="3" a="1"/>
  <c r="T20" i="3" a="1"/>
  <c r="Q2" i="3" a="1"/>
  <c r="AF6" i="3" a="1"/>
  <c r="Y13" i="3" a="1"/>
  <c r="AB27" i="3" a="1"/>
  <c r="I5" i="3" a="1"/>
  <c r="AA27" i="3" a="1"/>
  <c r="H5" i="3" a="1"/>
  <c r="AB16" i="3" a="1"/>
  <c r="L21" i="3" a="1"/>
  <c r="H14" i="3" a="1"/>
  <c r="K28" i="3" a="1"/>
  <c r="V5" i="3" a="1"/>
  <c r="W14" i="3" a="1"/>
  <c r="AB30" i="3" a="1"/>
  <c r="X6" i="3" a="1"/>
  <c r="T14" i="3" a="1"/>
  <c r="AA30" i="3" a="1"/>
  <c r="O13" i="3" a="1"/>
  <c r="P5" i="3" a="1"/>
  <c r="Q27" i="3" a="1"/>
  <c r="AB4" i="3" a="1"/>
  <c r="AG16" i="3" a="1"/>
  <c r="O6" i="3" a="1"/>
  <c r="H13" i="3" a="1"/>
  <c r="K27" i="3" a="1"/>
  <c r="V4" i="3" a="1"/>
  <c r="J27" i="3" a="1"/>
  <c r="T4" i="3" a="1"/>
  <c r="Z14" i="3" a="1"/>
  <c r="S28" i="3" a="1"/>
  <c r="T13" i="3" a="1"/>
  <c r="X27" i="3" a="1"/>
  <c r="AH4" i="3" a="1"/>
  <c r="AI13" i="3" a="1"/>
  <c r="Z28" i="3" a="1"/>
  <c r="G6" i="3" a="1"/>
  <c r="AG13" i="3" a="1"/>
  <c r="H28" i="3" a="1"/>
  <c r="AB9" i="3" a="1"/>
  <c r="AC4" i="3" a="1"/>
  <c r="AD23" i="3" a="1"/>
  <c r="K4" i="3" a="1"/>
  <c r="AH2" i="3" a="1"/>
  <c r="R2" i="3" a="1"/>
  <c r="AE14" i="3" a="1"/>
  <c r="Q28" i="3" a="1"/>
  <c r="AB5" i="3" a="1"/>
  <c r="AI7" i="3" a="1"/>
  <c r="X23" i="3" a="1"/>
  <c r="AH3" i="3" a="1"/>
  <c r="W23" i="3" a="1"/>
  <c r="AG3" i="3" a="1"/>
  <c r="I14" i="3" a="1"/>
  <c r="AC27" i="3" a="1"/>
  <c r="AG9" i="3" a="1"/>
  <c r="G27" i="3" a="1"/>
  <c r="Q4" i="3" a="1"/>
  <c r="R13" i="3" a="1"/>
  <c r="I28" i="3" a="1"/>
  <c r="S5" i="3" a="1"/>
  <c r="P13" i="3" a="1"/>
  <c r="AG23" i="3" a="1"/>
  <c r="Z7" i="3" a="1"/>
  <c r="L4" i="3" a="1"/>
  <c r="AB21" i="3" a="1"/>
  <c r="X3" i="3" a="1"/>
  <c r="AC13" i="3" a="1"/>
  <c r="V20" i="3" a="1"/>
  <c r="X3" i="1"/>
  <c r="L13" i="3" a="1"/>
  <c r="AH16" i="3" a="1"/>
  <c r="R27" i="3" a="1"/>
  <c r="N14" i="3" a="1"/>
  <c r="AD27" i="3" a="1"/>
  <c r="K5" i="3" a="1"/>
  <c r="R7" i="3" a="1"/>
  <c r="V21" i="3" a="1"/>
  <c r="Q3" i="3" a="1"/>
  <c r="T21" i="3" a="1"/>
  <c r="P3" i="3" a="1"/>
  <c r="V13" i="3" a="1"/>
  <c r="AF30" i="3" a="1"/>
  <c r="AE7" i="3" a="1"/>
  <c r="AH21" i="3" a="1"/>
  <c r="AD3" i="3" a="1"/>
  <c r="AE9" i="3" a="1"/>
  <c r="V27" i="3" a="1"/>
  <c r="AF4" i="3" a="1"/>
  <c r="AC9" i="3" a="1"/>
  <c r="N21" i="3" a="1"/>
  <c r="I7" i="3" a="1"/>
  <c r="Y3" i="3" a="1"/>
  <c r="K21" i="3" a="1"/>
  <c r="G3" i="3" a="1"/>
  <c r="AH28" i="3" a="1"/>
  <c r="V4" i="1"/>
  <c r="X4" i="1" s="1"/>
  <c r="Y9" i="3" a="1"/>
  <c r="AF14" i="3" a="1"/>
  <c r="AG27" i="3" a="1"/>
  <c r="AA13" i="3" a="1"/>
  <c r="M27" i="3" a="1"/>
  <c r="X4" i="3" a="1"/>
  <c r="AE6" i="3" a="1"/>
  <c r="AH20" i="3" a="1"/>
  <c r="AD2" i="3" a="1"/>
  <c r="AG20" i="3" a="1"/>
  <c r="AC2" i="3" a="1"/>
  <c r="AH9" i="3" a="1"/>
  <c r="M28" i="3" a="1"/>
  <c r="N7" i="3" a="1"/>
  <c r="Q21" i="3" a="1"/>
  <c r="M3" i="3" a="1"/>
  <c r="AC7" i="3" a="1"/>
  <c r="AH23" i="3" a="1"/>
  <c r="O4" i="3" a="1"/>
  <c r="AA7" i="3" a="1"/>
  <c r="Z30" i="3" a="1"/>
  <c r="V6" i="3" a="1"/>
  <c r="H3" i="3" a="1"/>
  <c r="X20" i="3" a="1"/>
  <c r="T2" i="3" a="1"/>
  <c r="N6" i="3" a="1"/>
  <c r="N2" i="3" a="1"/>
  <c r="P20" i="3" a="1"/>
  <c r="H20" i="3" a="1"/>
  <c r="AF7" i="3" a="1"/>
  <c r="AE30" i="3" a="1"/>
  <c r="AA6" i="3" a="1"/>
  <c r="AD20" i="3" a="1"/>
  <c r="Z2" i="3" a="1"/>
  <c r="L7" i="3" a="1"/>
  <c r="AF21" i="3" a="1"/>
  <c r="AB3" i="3" a="1"/>
  <c r="J7" i="3" a="1"/>
  <c r="X28" i="3" a="1"/>
  <c r="AH5" i="3" a="1"/>
  <c r="V2" i="3" a="1"/>
  <c r="G20" i="3" a="1"/>
  <c r="V5" i="1" l="1"/>
  <c r="V6" i="1" s="1"/>
  <c r="Y4" i="1"/>
  <c r="Z4" i="1"/>
  <c r="X5" i="1" l="1"/>
  <c r="X6" i="1"/>
  <c r="Y6" i="1"/>
  <c r="Z6" i="1"/>
  <c r="V7" i="1"/>
  <c r="Y5" i="1"/>
  <c r="Z5" i="1"/>
  <c r="X7" i="1" l="1"/>
  <c r="V8" i="1"/>
  <c r="Z7" i="1"/>
  <c r="Y7" i="1"/>
  <c r="Z8" i="1" l="1"/>
  <c r="Y8" i="1"/>
  <c r="V9" i="1"/>
  <c r="X8" i="1"/>
  <c r="V10" i="1" l="1"/>
  <c r="X9" i="1"/>
  <c r="Y9" i="1"/>
  <c r="Z9" i="1"/>
  <c r="X10" i="1" l="1"/>
  <c r="Y10" i="1"/>
  <c r="Z10" i="1"/>
  <c r="V11" i="1"/>
  <c r="Y11" i="1" l="1"/>
  <c r="Z11" i="1"/>
  <c r="V12" i="1"/>
  <c r="X11" i="1"/>
  <c r="V13" i="1" l="1"/>
  <c r="X12" i="1"/>
  <c r="Z12" i="1"/>
  <c r="Y12" i="1"/>
  <c r="X13" i="1" l="1"/>
  <c r="V14" i="1"/>
  <c r="Y13" i="1"/>
  <c r="Z13" i="1"/>
  <c r="X14" i="1" l="1"/>
  <c r="Y14" i="1"/>
  <c r="Z14" i="1"/>
  <c r="V15" i="1"/>
  <c r="V16" i="1" l="1"/>
  <c r="Y15" i="1"/>
  <c r="Z15" i="1"/>
  <c r="X15" i="1"/>
  <c r="X16" i="1" l="1"/>
  <c r="Y16" i="1"/>
  <c r="Z16" i="1"/>
  <c r="V17" i="1"/>
  <c r="X17" i="1" l="1"/>
  <c r="Y17" i="1"/>
  <c r="Z17" i="1"/>
  <c r="V18" i="1"/>
  <c r="Z18" i="1" l="1"/>
  <c r="V19" i="1"/>
  <c r="X18" i="1"/>
  <c r="Y18" i="1"/>
  <c r="V20" i="1" l="1"/>
  <c r="X19" i="1"/>
  <c r="Z19" i="1"/>
  <c r="Y19" i="1"/>
  <c r="X20" i="1" l="1"/>
  <c r="Y20" i="1"/>
  <c r="Z20" i="1"/>
  <c r="V21" i="1"/>
  <c r="Y21" i="1" l="1"/>
  <c r="Z21" i="1"/>
  <c r="V22" i="1"/>
  <c r="X21" i="1"/>
  <c r="V23" i="1" l="1"/>
  <c r="X22" i="1"/>
  <c r="Y22" i="1"/>
  <c r="Z22" i="1"/>
  <c r="X23" i="1" l="1"/>
  <c r="Y23" i="1"/>
  <c r="Z23" i="1"/>
  <c r="V24" i="1"/>
  <c r="X24" i="1" l="1"/>
  <c r="Y24" i="1"/>
  <c r="Z24" i="1"/>
  <c r="V25" i="1"/>
  <c r="V26" i="1" l="1"/>
  <c r="Z25" i="1"/>
  <c r="X25" i="1"/>
  <c r="Y25" i="1"/>
  <c r="X26" i="1" l="1"/>
  <c r="Y26" i="1"/>
  <c r="Z26" i="1"/>
  <c r="V27" i="1"/>
  <c r="X27" i="1" l="1"/>
  <c r="Y27" i="1"/>
  <c r="Z27" i="1"/>
  <c r="V28" i="1"/>
  <c r="Z28" i="1" l="1"/>
  <c r="V29" i="1"/>
  <c r="Y28" i="1"/>
  <c r="X28" i="1"/>
  <c r="V30" i="1" l="1"/>
  <c r="X29" i="1"/>
  <c r="Y29" i="1"/>
  <c r="Z29" i="1"/>
  <c r="X30" i="1" l="1"/>
  <c r="Y30" i="1"/>
  <c r="Z30" i="1"/>
  <c r="V31" i="1"/>
  <c r="Y31" i="1" l="1"/>
  <c r="Z31" i="1"/>
  <c r="V32" i="1"/>
  <c r="X31" i="1"/>
  <c r="V33" i="1" l="1"/>
  <c r="X32" i="1"/>
  <c r="Y32" i="1"/>
  <c r="Z32" i="1"/>
  <c r="X33" i="1" l="1"/>
  <c r="Y33" i="1"/>
  <c r="V34" i="1"/>
  <c r="Z33" i="1"/>
  <c r="X34" i="1" l="1"/>
  <c r="Y34" i="1"/>
  <c r="Z34" i="1"/>
  <c r="V35" i="1"/>
  <c r="Z35" i="1" l="1"/>
  <c r="Y35" i="1"/>
  <c r="V36" i="1"/>
  <c r="X35" i="1"/>
  <c r="X36" i="1" l="1"/>
  <c r="Y36" i="1"/>
  <c r="Z36" i="1"/>
  <c r="V37" i="1"/>
  <c r="X37" i="1" l="1"/>
  <c r="Y37" i="1"/>
  <c r="Z37" i="1"/>
  <c r="V38" i="1"/>
  <c r="Z38" i="1" l="1"/>
  <c r="V39" i="1"/>
  <c r="Y38" i="1"/>
  <c r="X38" i="1"/>
  <c r="V40" i="1" l="1"/>
  <c r="X39" i="1"/>
  <c r="Y39" i="1"/>
  <c r="Z39" i="1"/>
  <c r="Y40" i="1" l="1"/>
  <c r="V41" i="1"/>
  <c r="X40" i="1"/>
  <c r="Z40" i="1"/>
  <c r="Y41" i="1" l="1"/>
  <c r="Z41" i="1"/>
  <c r="V42" i="1"/>
  <c r="X41" i="1"/>
  <c r="V43" i="1" l="1"/>
  <c r="X42" i="1"/>
  <c r="Y42" i="1"/>
  <c r="Z42" i="1"/>
  <c r="X43" i="1" l="1"/>
  <c r="Y43" i="1"/>
  <c r="Z43" i="1"/>
  <c r="V44" i="1"/>
  <c r="X44" i="1" l="1"/>
  <c r="Y44" i="1"/>
  <c r="Z44" i="1"/>
  <c r="V45" i="1"/>
  <c r="V46" i="1" l="1"/>
  <c r="Z45" i="1"/>
  <c r="X45" i="1"/>
  <c r="Y45" i="1"/>
  <c r="X46" i="1" l="1"/>
  <c r="Y46" i="1"/>
  <c r="Z46" i="1"/>
  <c r="V47" i="1"/>
  <c r="Z47" i="1" l="1"/>
  <c r="X47" i="1"/>
  <c r="Y47" i="1"/>
  <c r="V48" i="1"/>
  <c r="Z48" i="1" l="1"/>
  <c r="V49" i="1"/>
  <c r="Y48" i="1"/>
  <c r="X48" i="1"/>
  <c r="X49" i="1" l="1"/>
  <c r="Z49" i="1"/>
  <c r="Y49" i="1"/>
  <c r="V50" i="1"/>
  <c r="Y50" i="1" l="1"/>
  <c r="X50" i="1"/>
  <c r="Z50" i="1"/>
  <c r="V51" i="1"/>
  <c r="Y51" i="1" l="1"/>
  <c r="Z51" i="1"/>
  <c r="V52" i="1"/>
  <c r="X51" i="1"/>
  <c r="V53" i="1" l="1"/>
  <c r="X52" i="1"/>
  <c r="Y52" i="1"/>
  <c r="Z52" i="1"/>
  <c r="X53" i="1" l="1"/>
  <c r="Y53" i="1"/>
  <c r="Z53" i="1"/>
  <c r="V54" i="1"/>
  <c r="X54" i="1" l="1"/>
  <c r="Y54" i="1"/>
  <c r="Z54" i="1"/>
  <c r="V55" i="1"/>
  <c r="V56" i="1" l="1"/>
  <c r="Z55" i="1"/>
  <c r="Y55" i="1"/>
  <c r="X55" i="1"/>
  <c r="X56" i="1" l="1"/>
  <c r="Y56" i="1"/>
  <c r="Z56" i="1"/>
  <c r="V57" i="1"/>
  <c r="X57" i="1" l="1"/>
  <c r="Y57" i="1"/>
  <c r="Z57" i="1"/>
  <c r="V58" i="1"/>
  <c r="Z58" i="1" l="1"/>
  <c r="V59" i="1"/>
  <c r="Y58" i="1"/>
  <c r="X58" i="1"/>
  <c r="V60" i="1" l="1"/>
  <c r="X59" i="1"/>
  <c r="Y59" i="1"/>
  <c r="Z59" i="1"/>
  <c r="X60" i="1" l="1"/>
  <c r="Y60" i="1"/>
  <c r="Z60" i="1"/>
  <c r="V61" i="1"/>
  <c r="Y61" i="1" l="1"/>
  <c r="Z61" i="1"/>
  <c r="V62" i="1"/>
  <c r="X61" i="1"/>
  <c r="V63" i="1" l="1"/>
  <c r="X62" i="1"/>
  <c r="Y62" i="1"/>
  <c r="Z62" i="1"/>
  <c r="X63" i="1" l="1"/>
  <c r="Y63" i="1"/>
  <c r="Z63" i="1"/>
  <c r="V64" i="1"/>
  <c r="X64" i="1" l="1"/>
  <c r="Y64" i="1"/>
  <c r="Z64" i="1"/>
  <c r="V65" i="1"/>
  <c r="V66" i="1" l="1"/>
  <c r="Z65" i="1"/>
  <c r="X65" i="1"/>
  <c r="Y65" i="1"/>
  <c r="X66" i="1" l="1"/>
  <c r="Y66" i="1"/>
  <c r="V67" i="1"/>
  <c r="Z66" i="1"/>
  <c r="X67" i="1" l="1"/>
  <c r="Y67" i="1"/>
  <c r="V68" i="1"/>
  <c r="Z67" i="1"/>
  <c r="Z68" i="1" l="1"/>
  <c r="V69" i="1"/>
  <c r="Y68" i="1"/>
  <c r="X68" i="1"/>
  <c r="V70" i="1" l="1"/>
  <c r="Y69" i="1"/>
  <c r="Z69" i="1"/>
  <c r="X69" i="1"/>
  <c r="Y70" i="1" l="1"/>
  <c r="Z70" i="1"/>
  <c r="V71" i="1"/>
  <c r="X70" i="1"/>
  <c r="Z71" i="1" l="1"/>
  <c r="X71" i="1"/>
  <c r="Y71" i="1"/>
  <c r="V72" i="1"/>
  <c r="X72" i="1" l="1"/>
  <c r="Y72" i="1"/>
  <c r="Z72" i="1"/>
  <c r="V73" i="1"/>
  <c r="X73" i="1" l="1"/>
  <c r="Y73" i="1"/>
  <c r="Z73" i="1"/>
  <c r="V74" i="1"/>
  <c r="X74" i="1" l="1"/>
  <c r="Y74" i="1"/>
  <c r="Z74" i="1"/>
  <c r="V75" i="1"/>
  <c r="V76" i="1" l="1"/>
  <c r="Z75" i="1"/>
  <c r="X75" i="1"/>
  <c r="Y75" i="1"/>
  <c r="X76" i="1" l="1"/>
  <c r="Y76" i="1"/>
  <c r="Z76" i="1"/>
  <c r="V77" i="1"/>
  <c r="Z77" i="1" l="1"/>
  <c r="X77" i="1"/>
  <c r="Y77" i="1"/>
  <c r="V78" i="1"/>
  <c r="Z78" i="1" l="1"/>
  <c r="V79" i="1"/>
  <c r="Y78" i="1"/>
  <c r="X78" i="1"/>
  <c r="V80" i="1" l="1"/>
  <c r="X79" i="1"/>
  <c r="Y79" i="1"/>
  <c r="Z79" i="1"/>
  <c r="Y80" i="1" l="1"/>
  <c r="X80" i="1"/>
  <c r="Z80" i="1"/>
  <c r="V81" i="1"/>
  <c r="Y81" i="1" l="1"/>
  <c r="Z81" i="1"/>
  <c r="V82" i="1"/>
  <c r="X81" i="1"/>
  <c r="V83" i="1" l="1"/>
  <c r="X82" i="1"/>
  <c r="Y82" i="1"/>
  <c r="Z82" i="1"/>
  <c r="X83" i="1" l="1"/>
  <c r="Y83" i="1"/>
  <c r="V84" i="1"/>
  <c r="Z83" i="1"/>
  <c r="X84" i="1" l="1"/>
  <c r="Y84" i="1"/>
  <c r="Z84" i="1"/>
  <c r="V85" i="1"/>
  <c r="V86" i="1" l="1"/>
  <c r="Z85" i="1"/>
  <c r="X85" i="1"/>
  <c r="Y85" i="1"/>
  <c r="X86" i="1" l="1"/>
  <c r="Y86" i="1"/>
  <c r="V87" i="1"/>
  <c r="Z86" i="1"/>
  <c r="X87" i="1" l="1"/>
  <c r="Y87" i="1"/>
  <c r="Z87" i="1"/>
  <c r="V88" i="1"/>
  <c r="Z88" i="1" l="1"/>
  <c r="V89" i="1"/>
  <c r="Y88" i="1"/>
  <c r="X88" i="1"/>
  <c r="V90" i="1" l="1"/>
  <c r="X89" i="1"/>
  <c r="Y89" i="1"/>
  <c r="Z89" i="1"/>
  <c r="X90" i="1" l="1"/>
  <c r="Y90" i="1"/>
  <c r="V91" i="1"/>
  <c r="Z90" i="1"/>
  <c r="Y91" i="1" l="1"/>
  <c r="Z91" i="1"/>
  <c r="V92" i="1"/>
  <c r="X91" i="1"/>
  <c r="V93" i="1" l="1"/>
  <c r="X92" i="1"/>
  <c r="Y92" i="1"/>
  <c r="Z92" i="1"/>
  <c r="X93" i="1" l="1"/>
  <c r="Y93" i="1"/>
  <c r="Z93" i="1"/>
  <c r="V94" i="1"/>
  <c r="X94" i="1" l="1"/>
  <c r="Y94" i="1"/>
  <c r="Z94" i="1"/>
  <c r="V95" i="1"/>
  <c r="X95" i="1" l="1"/>
  <c r="V96" i="1"/>
  <c r="Y95" i="1"/>
  <c r="Z95" i="1"/>
  <c r="Y96" i="1" l="1"/>
  <c r="Z96" i="1"/>
  <c r="X96" i="1"/>
  <c r="V97" i="1"/>
  <c r="X97" i="1" l="1"/>
  <c r="Y97" i="1"/>
  <c r="Z97" i="1"/>
  <c r="V98" i="1"/>
  <c r="Z98" i="1" l="1"/>
  <c r="V99" i="1"/>
  <c r="X98" i="1"/>
  <c r="Y98" i="1"/>
  <c r="V100" i="1" l="1"/>
  <c r="X99" i="1"/>
  <c r="Y99" i="1"/>
  <c r="Z99" i="1"/>
  <c r="X100" i="1" l="1"/>
  <c r="Y100" i="1"/>
  <c r="V101" i="1"/>
  <c r="Z100" i="1"/>
  <c r="Y101" i="1" l="1"/>
  <c r="Z101" i="1"/>
  <c r="X101" i="1"/>
  <c r="V102" i="1"/>
  <c r="V103" i="1" l="1"/>
  <c r="X102" i="1"/>
  <c r="Z102" i="1"/>
  <c r="Y102" i="1"/>
  <c r="X103" i="1" l="1"/>
  <c r="Z103" i="1"/>
  <c r="Y103" i="1"/>
  <c r="V104" i="1"/>
  <c r="X104" i="1" l="1"/>
  <c r="Y104" i="1"/>
  <c r="Z104" i="1"/>
  <c r="V105" i="1"/>
  <c r="V106" i="1" l="1"/>
  <c r="X105" i="1"/>
  <c r="Y105" i="1"/>
  <c r="Z105" i="1"/>
  <c r="Y106" i="1" l="1"/>
  <c r="X106" i="1"/>
  <c r="Z106" i="1"/>
  <c r="V107" i="1"/>
  <c r="X107" i="1" l="1"/>
  <c r="Y107" i="1"/>
  <c r="Z107" i="1"/>
  <c r="V108" i="1"/>
  <c r="Z108" i="1" l="1"/>
  <c r="V109" i="1"/>
  <c r="X108" i="1"/>
  <c r="Y108" i="1"/>
  <c r="V110" i="1" l="1"/>
  <c r="Y109" i="1"/>
  <c r="X109" i="1"/>
  <c r="Z109" i="1"/>
  <c r="Y110" i="1" l="1"/>
  <c r="X110" i="1"/>
  <c r="Z110" i="1"/>
  <c r="V111" i="1"/>
  <c r="Y111" i="1" l="1"/>
  <c r="Z111" i="1"/>
  <c r="V112" i="1"/>
  <c r="X111" i="1"/>
  <c r="V113" i="1" l="1"/>
  <c r="X112" i="1"/>
  <c r="Y112" i="1"/>
  <c r="Z112" i="1"/>
  <c r="X113" i="1" l="1"/>
  <c r="Z113" i="1"/>
  <c r="V114" i="1"/>
  <c r="Y113" i="1"/>
  <c r="X114" i="1" l="1"/>
  <c r="Y114" i="1"/>
  <c r="V115" i="1"/>
  <c r="Z114" i="1"/>
  <c r="V116" i="1" l="1"/>
  <c r="X115" i="1"/>
  <c r="Y115" i="1"/>
  <c r="Z115" i="1"/>
  <c r="Y116" i="1" l="1"/>
  <c r="X116" i="1"/>
  <c r="Z116" i="1"/>
  <c r="V117" i="1"/>
  <c r="X117" i="1" l="1"/>
  <c r="Y117" i="1"/>
  <c r="Z117" i="1"/>
  <c r="V118" i="1"/>
  <c r="V119" i="1" l="1"/>
  <c r="Y118" i="1"/>
  <c r="Z118" i="1"/>
  <c r="X118" i="1"/>
  <c r="V120" i="1" l="1"/>
  <c r="X119" i="1"/>
  <c r="Y119" i="1"/>
  <c r="Z119" i="1"/>
  <c r="X120" i="1" l="1"/>
  <c r="V121" i="1"/>
  <c r="Y120" i="1"/>
  <c r="Z120" i="1"/>
  <c r="Y121" i="1" l="1"/>
  <c r="Z121" i="1"/>
  <c r="X121" i="1"/>
  <c r="V122" i="1"/>
  <c r="V123" i="1" l="1"/>
  <c r="X122" i="1"/>
  <c r="Y122" i="1"/>
  <c r="Z122" i="1"/>
  <c r="X123" i="1" l="1"/>
  <c r="Y123" i="1"/>
  <c r="V124" i="1"/>
  <c r="Z123" i="1"/>
  <c r="X124" i="1" l="1"/>
  <c r="Y124" i="1"/>
  <c r="Z124" i="1"/>
  <c r="V125" i="1"/>
  <c r="X125" i="1" l="1"/>
  <c r="Y125" i="1"/>
  <c r="V126" i="1"/>
  <c r="Z125" i="1"/>
  <c r="X126" i="1" l="1"/>
  <c r="Z126" i="1"/>
  <c r="V127" i="1"/>
  <c r="Y126" i="1"/>
  <c r="X127" i="1" l="1"/>
  <c r="Y127" i="1"/>
  <c r="V128" i="1"/>
  <c r="Z127" i="1"/>
  <c r="Z128" i="1" l="1"/>
  <c r="Y128" i="1"/>
  <c r="X128" i="1"/>
  <c r="V129" i="1"/>
  <c r="Z129" i="1" l="1"/>
  <c r="V130" i="1"/>
  <c r="X129" i="1"/>
  <c r="Y129" i="1"/>
  <c r="X130" i="1" l="1"/>
  <c r="Y130" i="1"/>
  <c r="Z130" i="1"/>
  <c r="V131" i="1"/>
  <c r="Z131" i="1" l="1"/>
  <c r="X131" i="1"/>
  <c r="Y131" i="1"/>
  <c r="V132" i="1"/>
  <c r="V133" i="1" l="1"/>
  <c r="X132" i="1"/>
  <c r="Y132" i="1"/>
  <c r="Z132" i="1"/>
  <c r="Y133" i="1" l="1"/>
  <c r="Z133" i="1"/>
  <c r="V134" i="1"/>
  <c r="X133" i="1"/>
  <c r="X134" i="1" l="1"/>
  <c r="Y134" i="1"/>
  <c r="V135" i="1"/>
  <c r="Z134" i="1"/>
  <c r="V136" i="1" l="1"/>
  <c r="X135" i="1"/>
  <c r="Y135" i="1"/>
  <c r="Z135" i="1"/>
  <c r="V137" i="1" l="1"/>
  <c r="Y136" i="1"/>
  <c r="X136" i="1"/>
  <c r="Z136" i="1"/>
  <c r="X137" i="1" l="1"/>
  <c r="Y137" i="1"/>
  <c r="Z137" i="1"/>
  <c r="V138" i="1"/>
  <c r="Z138" i="1" l="1"/>
  <c r="V139" i="1"/>
  <c r="X138" i="1"/>
  <c r="Y138" i="1"/>
  <c r="V140" i="1" l="1"/>
  <c r="X139" i="1"/>
  <c r="Y139" i="1"/>
  <c r="Z139" i="1"/>
  <c r="X140" i="1" l="1"/>
  <c r="V141" i="1"/>
  <c r="Y140" i="1"/>
  <c r="Z140" i="1"/>
  <c r="Y141" i="1" l="1"/>
  <c r="Z141" i="1"/>
  <c r="X141" i="1"/>
  <c r="V142" i="1"/>
  <c r="V143" i="1" l="1"/>
  <c r="Y142" i="1"/>
  <c r="Z142" i="1"/>
  <c r="X142" i="1"/>
  <c r="X143" i="1" l="1"/>
  <c r="Y143" i="1"/>
  <c r="Z143" i="1"/>
  <c r="V144" i="1"/>
  <c r="V145" i="1" s="1"/>
  <c r="V146" i="1" s="1"/>
  <c r="V147" i="1" s="1"/>
  <c r="V148" i="1" s="1"/>
  <c r="Y148" i="1" l="1"/>
  <c r="X148" i="1"/>
  <c r="V149" i="1"/>
  <c r="Z148" i="1"/>
  <c r="X147" i="1"/>
  <c r="Y147" i="1"/>
  <c r="Z147" i="1"/>
  <c r="X146" i="1"/>
  <c r="Y146" i="1"/>
  <c r="Z146" i="1"/>
  <c r="X145" i="1"/>
  <c r="Y145" i="1"/>
  <c r="Z145" i="1"/>
  <c r="X144" i="1"/>
  <c r="Y144" i="1"/>
  <c r="Z144" i="1"/>
  <c r="V150" i="1" l="1"/>
  <c r="V151" i="1" s="1"/>
  <c r="V152" i="1" s="1"/>
  <c r="V153" i="1" s="1"/>
  <c r="X149" i="1"/>
  <c r="Y149" i="1"/>
  <c r="Z149" i="1"/>
  <c r="V154" i="1" l="1"/>
  <c r="V155" i="1" s="1"/>
  <c r="X153" i="1"/>
  <c r="Y153" i="1"/>
  <c r="Z153" i="1"/>
  <c r="X152" i="1"/>
  <c r="Y152" i="1"/>
  <c r="Z152" i="1"/>
  <c r="X151" i="1"/>
  <c r="Z151" i="1"/>
  <c r="Y151" i="1"/>
  <c r="X150" i="1"/>
  <c r="Y150" i="1"/>
  <c r="Z150" i="1"/>
  <c r="X155" i="1" l="1"/>
  <c r="Y155" i="1"/>
  <c r="Z155" i="1"/>
  <c r="V156" i="1"/>
  <c r="X154" i="1"/>
  <c r="Y154" i="1"/>
  <c r="Z154" i="1"/>
  <c r="X156" i="1" l="1"/>
  <c r="Y156" i="1"/>
  <c r="Z156" i="1"/>
  <c r="V157" i="1"/>
  <c r="X157" i="1" l="1"/>
  <c r="Z157" i="1"/>
  <c r="V158" i="1"/>
  <c r="V159" i="1" s="1"/>
  <c r="Y157" i="1"/>
  <c r="Y159" i="1" l="1"/>
  <c r="Z159" i="1"/>
  <c r="X159" i="1"/>
  <c r="V160" i="1"/>
  <c r="X158" i="1"/>
  <c r="Y158" i="1"/>
  <c r="Z158" i="1"/>
  <c r="Z160" i="1" l="1"/>
  <c r="X160" i="1"/>
  <c r="Y160" i="1"/>
  <c r="V161" i="1"/>
  <c r="Z161" i="1" l="1"/>
  <c r="V162" i="1"/>
  <c r="X161" i="1"/>
  <c r="Y161" i="1"/>
  <c r="V163" i="1" l="1"/>
  <c r="X162" i="1"/>
  <c r="Y162" i="1"/>
  <c r="Z162" i="1"/>
  <c r="Y163" i="1" l="1"/>
  <c r="X163" i="1"/>
  <c r="Z163" i="1"/>
  <c r="V164" i="1"/>
  <c r="Y164" i="1" l="1"/>
  <c r="Z164" i="1"/>
  <c r="X164" i="1"/>
  <c r="V165" i="1"/>
  <c r="Y165" i="1" l="1"/>
  <c r="V166" i="1"/>
  <c r="V167" i="1" s="1"/>
  <c r="Z165" i="1"/>
  <c r="X165" i="1"/>
  <c r="Z167" i="1" l="1"/>
  <c r="X167" i="1"/>
  <c r="Y167" i="1"/>
  <c r="V168" i="1"/>
  <c r="Z166" i="1"/>
  <c r="Y166" i="1"/>
  <c r="X166" i="1"/>
  <c r="Y168" i="1" l="1"/>
  <c r="X168" i="1"/>
  <c r="Z168" i="1"/>
  <c r="V169" i="1"/>
  <c r="Z169" i="1" l="1"/>
  <c r="X169" i="1"/>
  <c r="Y169" i="1"/>
  <c r="V170" i="1"/>
  <c r="V171" i="1" l="1"/>
  <c r="V172" i="1" s="1"/>
  <c r="X170" i="1"/>
  <c r="Z170" i="1"/>
  <c r="Y170" i="1"/>
  <c r="V173" i="1" l="1"/>
  <c r="Z172" i="1"/>
  <c r="X172" i="1"/>
  <c r="Y172" i="1"/>
  <c r="X171" i="1"/>
  <c r="Y171" i="1"/>
  <c r="Z171" i="1"/>
  <c r="Y173" i="1" l="1"/>
  <c r="X173" i="1"/>
  <c r="V174" i="1"/>
  <c r="Z173" i="1"/>
  <c r="X174" i="1" l="1"/>
  <c r="V175" i="1"/>
  <c r="Y174" i="1"/>
  <c r="Z174" i="1"/>
  <c r="Y175" i="1" l="1"/>
  <c r="V176" i="1"/>
  <c r="Z175" i="1"/>
  <c r="X175" i="1"/>
  <c r="V177" i="1" l="1"/>
  <c r="V178" i="1" s="1"/>
  <c r="X176" i="1"/>
  <c r="Y176" i="1"/>
  <c r="Z176" i="1"/>
  <c r="Y178" i="1" l="1"/>
  <c r="X178" i="1"/>
  <c r="Z178" i="1"/>
  <c r="V179" i="1"/>
  <c r="V180" i="1" s="1"/>
  <c r="Z177" i="1"/>
  <c r="X177" i="1"/>
  <c r="Y177" i="1"/>
  <c r="Z180" i="1" l="1"/>
  <c r="V181" i="1"/>
  <c r="Y180" i="1"/>
  <c r="X180" i="1"/>
  <c r="Z179" i="1"/>
  <c r="X179" i="1"/>
  <c r="Y179" i="1"/>
  <c r="V182" i="1" l="1"/>
  <c r="Y181" i="1"/>
  <c r="Z181" i="1"/>
  <c r="X181" i="1"/>
  <c r="Y182" i="1" l="1"/>
  <c r="X182" i="1"/>
  <c r="Z182" i="1"/>
  <c r="V183" i="1"/>
  <c r="V184" i="1" l="1"/>
  <c r="V185" i="1" s="1"/>
  <c r="Y183" i="1"/>
  <c r="Z183" i="1"/>
  <c r="X183" i="1"/>
  <c r="V186" i="1" l="1"/>
  <c r="V187" i="1" s="1"/>
  <c r="X185" i="1"/>
  <c r="Y185" i="1"/>
  <c r="Z185" i="1"/>
  <c r="X184" i="1"/>
  <c r="Y184" i="1"/>
  <c r="Z184" i="1"/>
  <c r="X187" i="1" l="1"/>
  <c r="Y187" i="1"/>
  <c r="Z187" i="1"/>
  <c r="V188" i="1"/>
  <c r="Z186" i="1"/>
  <c r="X186" i="1"/>
  <c r="Y186" i="1"/>
  <c r="Z188" i="1" l="1"/>
  <c r="V189" i="1"/>
  <c r="X188" i="1"/>
  <c r="Y188" i="1"/>
  <c r="Y189" i="1" l="1"/>
  <c r="X189" i="1"/>
  <c r="Z189" i="1"/>
  <c r="V190" i="1"/>
  <c r="V191" i="1" s="1"/>
  <c r="V192" i="1" s="1"/>
  <c r="V193" i="1" l="1"/>
  <c r="X192" i="1"/>
  <c r="Y192" i="1"/>
  <c r="Z192" i="1"/>
  <c r="Z191" i="1"/>
  <c r="X191" i="1"/>
  <c r="Y191" i="1"/>
  <c r="Y190" i="1"/>
  <c r="X190" i="1"/>
  <c r="Z190" i="1"/>
  <c r="Y193" i="1" l="1"/>
  <c r="Z193" i="1"/>
  <c r="X193" i="1"/>
  <c r="V194" i="1"/>
  <c r="V195" i="1" s="1"/>
  <c r="X195" i="1" l="1"/>
  <c r="Y195" i="1"/>
  <c r="Z195" i="1"/>
  <c r="V196" i="1"/>
  <c r="Z194" i="1"/>
  <c r="X194" i="1"/>
  <c r="Y194" i="1"/>
  <c r="X196" i="1" l="1"/>
  <c r="Y196" i="1"/>
  <c r="V197" i="1"/>
  <c r="Z196" i="1"/>
  <c r="X197" i="1" l="1"/>
  <c r="Y197" i="1"/>
  <c r="V198" i="1"/>
  <c r="V199" i="1" s="1"/>
  <c r="Z197" i="1"/>
  <c r="X199" i="1" l="1"/>
  <c r="Y199" i="1"/>
  <c r="Z199" i="1"/>
  <c r="V200" i="1"/>
  <c r="Y198" i="1"/>
  <c r="Z198" i="1"/>
  <c r="X198" i="1"/>
  <c r="Z200" i="1" l="1"/>
  <c r="V201" i="1"/>
  <c r="V202" i="1" s="1"/>
  <c r="X200" i="1"/>
  <c r="Y200" i="1"/>
  <c r="X202" i="1" l="1"/>
  <c r="Y202" i="1"/>
  <c r="Z202" i="1"/>
  <c r="V203" i="1"/>
  <c r="V204" i="1" s="1"/>
  <c r="V205" i="1" s="1"/>
  <c r="X201" i="1"/>
  <c r="Y201" i="1"/>
  <c r="Z201" i="1"/>
  <c r="Y205" i="1" l="1"/>
  <c r="Z205" i="1"/>
  <c r="X205" i="1"/>
  <c r="V206" i="1"/>
  <c r="X204" i="1"/>
  <c r="Y204" i="1"/>
  <c r="Z204" i="1"/>
  <c r="X203" i="1"/>
  <c r="Y203" i="1"/>
  <c r="Z203" i="1"/>
  <c r="V207" i="1" l="1"/>
  <c r="Y206" i="1"/>
  <c r="X206" i="1"/>
  <c r="Z206" i="1"/>
  <c r="Z207" i="1" l="1"/>
  <c r="V208" i="1"/>
  <c r="X207" i="1"/>
  <c r="Y207" i="1"/>
  <c r="V209" i="1" l="1"/>
  <c r="Y208" i="1"/>
  <c r="Z208" i="1"/>
  <c r="X208" i="1"/>
  <c r="Z209" i="1" l="1"/>
  <c r="X209" i="1"/>
  <c r="V210" i="1"/>
  <c r="Y209" i="1"/>
  <c r="Y210" i="1" l="1"/>
  <c r="Z210" i="1"/>
  <c r="V211" i="1"/>
  <c r="X210" i="1"/>
  <c r="V212" i="1" l="1"/>
  <c r="X211" i="1"/>
  <c r="Y211" i="1"/>
  <c r="Z211" i="1"/>
  <c r="V213" i="1" l="1"/>
  <c r="Y212" i="1"/>
  <c r="Z212" i="1"/>
  <c r="X212" i="1"/>
  <c r="Y213" i="1" l="1"/>
  <c r="Z213" i="1"/>
  <c r="V214" i="1"/>
  <c r="X213" i="1"/>
  <c r="X214" i="1" l="1"/>
  <c r="V215" i="1"/>
  <c r="Y214" i="1"/>
  <c r="Z214" i="1"/>
  <c r="Y215" i="1" l="1"/>
  <c r="V216" i="1"/>
  <c r="X215" i="1"/>
  <c r="Z215" i="1"/>
  <c r="X216" i="1" l="1"/>
  <c r="V217" i="1"/>
  <c r="Y216" i="1"/>
  <c r="Z216" i="1"/>
  <c r="Z217" i="1" l="1"/>
  <c r="V218" i="1"/>
  <c r="X217" i="1"/>
  <c r="Y217" i="1"/>
  <c r="V219" i="1" l="1"/>
  <c r="V220" i="1" s="1"/>
  <c r="Y218" i="1"/>
  <c r="Z218" i="1"/>
  <c r="X218" i="1"/>
  <c r="Y220" i="1" l="1"/>
  <c r="X220" i="1"/>
  <c r="V221" i="1"/>
  <c r="Z220" i="1"/>
  <c r="X219" i="1"/>
  <c r="Y219" i="1"/>
  <c r="Z219" i="1"/>
  <c r="Z221" i="1" l="1"/>
  <c r="V222" i="1"/>
  <c r="V223" i="1" s="1"/>
  <c r="X221" i="1"/>
  <c r="Y221" i="1"/>
  <c r="X223" i="1" l="1"/>
  <c r="Z223" i="1"/>
  <c r="V224" i="1"/>
  <c r="Y223" i="1"/>
  <c r="Z222" i="1"/>
  <c r="X222" i="1"/>
  <c r="Y222" i="1"/>
  <c r="Y224" i="1" l="1"/>
  <c r="X224" i="1"/>
  <c r="Z224" i="1"/>
  <c r="V225" i="1"/>
  <c r="V226" i="1" s="1"/>
  <c r="V227" i="1" l="1"/>
  <c r="Z226" i="1"/>
  <c r="Y226" i="1"/>
  <c r="X226" i="1"/>
  <c r="X225" i="1"/>
  <c r="Z225" i="1"/>
  <c r="Y225" i="1"/>
  <c r="V228" i="1" l="1"/>
  <c r="X227" i="1"/>
  <c r="Y227" i="1"/>
  <c r="Z227" i="1"/>
  <c r="Z228" i="1" l="1"/>
  <c r="V229" i="1"/>
  <c r="X228" i="1"/>
  <c r="Y228" i="1"/>
  <c r="V230" i="1" l="1"/>
  <c r="Y229" i="1"/>
  <c r="Z229" i="1"/>
  <c r="X229" i="1"/>
  <c r="Y230" i="1" l="1"/>
  <c r="V231" i="1"/>
  <c r="X230" i="1"/>
  <c r="Z230" i="1"/>
  <c r="Y231" i="1" l="1"/>
  <c r="V232" i="1"/>
  <c r="Z231" i="1"/>
  <c r="X231" i="1"/>
  <c r="X232" i="1" l="1"/>
  <c r="Z232" i="1"/>
  <c r="Y232" i="1"/>
  <c r="V233" i="1"/>
  <c r="X233" i="1" l="1"/>
  <c r="V234" i="1"/>
  <c r="Y233" i="1"/>
  <c r="Z233" i="1"/>
  <c r="X234" i="1" l="1"/>
  <c r="Y234" i="1"/>
  <c r="Z234" i="1"/>
  <c r="V235" i="1"/>
  <c r="X235" i="1" l="1"/>
  <c r="Y235" i="1"/>
  <c r="Z235" i="1"/>
  <c r="V236" i="1"/>
  <c r="X236" i="1" l="1"/>
  <c r="Y236" i="1"/>
  <c r="Z236" i="1"/>
  <c r="V237" i="1"/>
  <c r="V238" i="1" l="1"/>
  <c r="X237" i="1"/>
  <c r="Z237" i="1"/>
  <c r="Y237" i="1"/>
  <c r="Z238" i="1" l="1"/>
  <c r="V239" i="1"/>
  <c r="Y238" i="1"/>
  <c r="X238" i="1"/>
  <c r="V240" i="1" l="1"/>
  <c r="Z239" i="1"/>
  <c r="X239" i="1"/>
  <c r="Y239" i="1"/>
  <c r="Y240" i="1" l="1"/>
  <c r="V241" i="1"/>
  <c r="X240" i="1"/>
  <c r="Z240" i="1"/>
  <c r="Y241" i="1" l="1"/>
  <c r="V242" i="1"/>
  <c r="Z241" i="1"/>
  <c r="X241" i="1"/>
  <c r="Z242" i="1" l="1"/>
  <c r="V243" i="1"/>
  <c r="X242" i="1"/>
  <c r="Y242" i="1"/>
  <c r="Y243" i="1" l="1"/>
  <c r="X243" i="1"/>
  <c r="Z243" i="1"/>
  <c r="V244" i="1"/>
  <c r="X244" i="1" l="1"/>
  <c r="V245" i="1"/>
  <c r="Y244" i="1"/>
  <c r="Z244" i="1"/>
  <c r="Z245" i="1" l="1"/>
  <c r="V246" i="1"/>
  <c r="X245" i="1"/>
  <c r="Y245" i="1"/>
  <c r="X246" i="1" l="1"/>
  <c r="Y246" i="1"/>
  <c r="V247" i="1"/>
  <c r="Z246" i="1"/>
  <c r="X247" i="1" l="1"/>
  <c r="Y247" i="1"/>
  <c r="Z247" i="1"/>
  <c r="V248" i="1"/>
  <c r="Z248" i="1" l="1"/>
  <c r="V249" i="1"/>
  <c r="X248" i="1"/>
  <c r="Y248" i="1"/>
  <c r="V250" i="1" l="1"/>
  <c r="Y249" i="1"/>
  <c r="Z249" i="1"/>
  <c r="X249" i="1"/>
  <c r="V251" i="1" l="1"/>
  <c r="Z250" i="1"/>
  <c r="X250" i="1"/>
  <c r="Y250" i="1"/>
  <c r="V252" i="1" l="1"/>
  <c r="V253" i="1" s="1"/>
  <c r="Y251" i="1"/>
  <c r="Z251" i="1"/>
  <c r="X251" i="1"/>
  <c r="X253" i="1" l="1"/>
  <c r="Y253" i="1"/>
  <c r="Z253" i="1"/>
  <c r="V254" i="1"/>
  <c r="Y252" i="1"/>
  <c r="Z252" i="1"/>
  <c r="X252" i="1"/>
  <c r="X254" i="1" l="1"/>
  <c r="Z254" i="1"/>
  <c r="Y254" i="1"/>
  <c r="V255" i="1"/>
  <c r="Z255" i="1" l="1"/>
  <c r="X255" i="1"/>
  <c r="V256" i="1"/>
  <c r="Y255" i="1"/>
  <c r="V257" i="1" l="1"/>
  <c r="Y256" i="1"/>
  <c r="X256" i="1"/>
  <c r="Z256" i="1"/>
  <c r="Y257" i="1" l="1"/>
  <c r="X257" i="1"/>
  <c r="Z257" i="1"/>
  <c r="V258" i="1"/>
  <c r="Y258" i="1" l="1"/>
  <c r="Z258" i="1"/>
  <c r="V259" i="1"/>
  <c r="V260" i="1" s="1"/>
  <c r="V261" i="1" s="1"/>
  <c r="V262" i="1" s="1"/>
  <c r="V263" i="1" s="1"/>
  <c r="X258" i="1"/>
  <c r="V264" i="1" l="1"/>
  <c r="X263" i="1"/>
  <c r="Y263" i="1"/>
  <c r="Z263" i="1"/>
  <c r="X262" i="1"/>
  <c r="Y262" i="1"/>
  <c r="Z262" i="1"/>
  <c r="X261" i="1"/>
  <c r="Y261" i="1"/>
  <c r="Z261" i="1"/>
  <c r="X260" i="1"/>
  <c r="Y260" i="1"/>
  <c r="Z260" i="1"/>
  <c r="X259" i="1"/>
  <c r="Z259" i="1"/>
  <c r="Y259" i="1"/>
  <c r="X264" i="1" l="1"/>
  <c r="Y264" i="1"/>
  <c r="Z264" i="1"/>
  <c r="V265" i="1"/>
  <c r="V266" i="1" s="1"/>
  <c r="V267" i="1" s="1"/>
  <c r="V268" i="1" s="1"/>
  <c r="X268" i="1" l="1"/>
  <c r="Y268" i="1"/>
  <c r="Z268" i="1"/>
  <c r="V269" i="1"/>
  <c r="V270" i="1" s="1"/>
  <c r="X267" i="1"/>
  <c r="Y267" i="1"/>
  <c r="Z267" i="1"/>
  <c r="X266" i="1"/>
  <c r="Y266" i="1"/>
  <c r="Z266" i="1"/>
  <c r="Z265" i="1"/>
  <c r="Y265" i="1"/>
  <c r="X265" i="1"/>
  <c r="X270" i="1" l="1"/>
  <c r="Y270" i="1"/>
  <c r="Z270" i="1"/>
  <c r="V271" i="1"/>
  <c r="V272" i="1" s="1"/>
  <c r="V273" i="1" s="1"/>
  <c r="X269" i="1"/>
  <c r="Y269" i="1"/>
  <c r="Z269" i="1"/>
  <c r="X273" i="1" l="1"/>
  <c r="Y273" i="1"/>
  <c r="Z273" i="1"/>
  <c r="V274" i="1"/>
  <c r="V275" i="1" s="1"/>
  <c r="X272" i="1"/>
  <c r="Y272" i="1"/>
  <c r="Z272" i="1"/>
  <c r="X271" i="1"/>
  <c r="Y271" i="1"/>
  <c r="Z271" i="1"/>
  <c r="X275" i="1" l="1"/>
  <c r="Y275" i="1"/>
  <c r="Z275" i="1"/>
  <c r="V276" i="1"/>
  <c r="X274" i="1"/>
  <c r="Y274" i="1"/>
  <c r="Z274" i="1"/>
  <c r="X276" i="1" l="1"/>
  <c r="Y276" i="1"/>
  <c r="Z276" i="1"/>
  <c r="V277" i="1"/>
  <c r="X277" i="1" l="1"/>
  <c r="Y277" i="1"/>
  <c r="Z277" i="1"/>
  <c r="V278" i="1"/>
  <c r="V279" i="1" s="1"/>
  <c r="V280" i="1" s="1"/>
  <c r="V281" i="1" s="1"/>
  <c r="X281" i="1" l="1"/>
  <c r="Y281" i="1"/>
  <c r="Z281" i="1"/>
  <c r="V282" i="1"/>
  <c r="V283" i="1" s="1"/>
  <c r="X280" i="1"/>
  <c r="Y280" i="1"/>
  <c r="Z280" i="1"/>
  <c r="X279" i="1"/>
  <c r="Y279" i="1"/>
  <c r="Z279" i="1"/>
  <c r="X278" i="1"/>
  <c r="Y278" i="1"/>
  <c r="Z278" i="1"/>
  <c r="X283" i="1" l="1"/>
  <c r="Y283" i="1"/>
  <c r="Z283" i="1"/>
  <c r="V284" i="1"/>
  <c r="X282" i="1"/>
  <c r="Y282" i="1"/>
  <c r="Z282" i="1"/>
  <c r="Y284" i="1" l="1"/>
  <c r="V285" i="1"/>
  <c r="X284" i="1"/>
  <c r="Z284" i="1"/>
  <c r="Z285" i="1" l="1"/>
  <c r="V286" i="1"/>
  <c r="V287" i="1" s="1"/>
  <c r="X285" i="1"/>
  <c r="Y285" i="1"/>
  <c r="Z287" i="1" l="1"/>
  <c r="Y287" i="1"/>
  <c r="X287" i="1"/>
  <c r="V288" i="1"/>
  <c r="V289" i="1" s="1"/>
  <c r="V290" i="1" s="1"/>
  <c r="Z286" i="1"/>
  <c r="X286" i="1"/>
  <c r="Y286" i="1"/>
  <c r="Y290" i="1" l="1"/>
  <c r="X290" i="1"/>
  <c r="Z290" i="1"/>
  <c r="V291" i="1"/>
  <c r="X289" i="1"/>
  <c r="Y289" i="1"/>
  <c r="Z289" i="1"/>
  <c r="X288" i="1"/>
  <c r="Y288" i="1"/>
  <c r="Z288" i="1"/>
  <c r="V292" i="1" l="1"/>
  <c r="X291" i="1"/>
  <c r="Y291" i="1"/>
  <c r="Z291" i="1"/>
  <c r="X292" i="1" l="1"/>
  <c r="Y292" i="1"/>
  <c r="Z292" i="1"/>
  <c r="V293" i="1"/>
  <c r="X293" i="1" l="1"/>
  <c r="Y293" i="1"/>
  <c r="Z293" i="1"/>
  <c r="V294" i="1"/>
  <c r="V295" i="1" s="1"/>
  <c r="Z295" i="1" l="1"/>
  <c r="V296" i="1"/>
  <c r="Y295" i="1"/>
  <c r="X295" i="1"/>
  <c r="X294" i="1"/>
  <c r="Y294" i="1"/>
  <c r="Z294" i="1"/>
  <c r="Y296" i="1" l="1"/>
  <c r="Z296" i="1"/>
  <c r="V297" i="1"/>
  <c r="V298" i="1" s="1"/>
  <c r="V299" i="1" s="1"/>
  <c r="V300" i="1" s="1"/>
  <c r="V301" i="1" s="1"/>
  <c r="X296" i="1"/>
  <c r="Y301" i="1" l="1"/>
  <c r="X301" i="1"/>
  <c r="V302" i="1"/>
  <c r="Z301" i="1"/>
  <c r="X300" i="1"/>
  <c r="Y300" i="1"/>
  <c r="Z300" i="1"/>
  <c r="Z299" i="1"/>
  <c r="Y299" i="1"/>
  <c r="X299" i="1"/>
  <c r="X298" i="1"/>
  <c r="Z298" i="1"/>
  <c r="Y298" i="1"/>
  <c r="Y297" i="1"/>
  <c r="X297" i="1"/>
  <c r="Z297" i="1"/>
  <c r="V303" i="1" l="1"/>
  <c r="Z302" i="1"/>
  <c r="Y302" i="1"/>
  <c r="X302" i="1"/>
  <c r="X303" i="1" l="1"/>
  <c r="Y303" i="1"/>
  <c r="Z303" i="1"/>
  <c r="V304" i="1"/>
  <c r="V305" i="1" s="1"/>
  <c r="V306" i="1" s="1"/>
  <c r="V307" i="1" s="1"/>
  <c r="V308" i="1" s="1"/>
  <c r="V309" i="1" s="1"/>
  <c r="V310" i="1" l="1"/>
  <c r="V311" i="1" s="1"/>
  <c r="V312" i="1" s="1"/>
  <c r="V313" i="1" s="1"/>
  <c r="Z309" i="1"/>
  <c r="Y309" i="1"/>
  <c r="X309" i="1"/>
  <c r="Z308" i="1"/>
  <c r="Y308" i="1"/>
  <c r="X308" i="1"/>
  <c r="Z307" i="1"/>
  <c r="Y307" i="1"/>
  <c r="X307" i="1"/>
  <c r="Z306" i="1"/>
  <c r="Y306" i="1"/>
  <c r="X306" i="1"/>
  <c r="Z305" i="1"/>
  <c r="X305" i="1"/>
  <c r="Y305" i="1"/>
  <c r="X304" i="1"/>
  <c r="Z304" i="1"/>
  <c r="Y304" i="1"/>
  <c r="V314" i="1" l="1"/>
  <c r="Z313" i="1"/>
  <c r="Y313" i="1"/>
  <c r="X313" i="1"/>
  <c r="Z312" i="1"/>
  <c r="Y312" i="1"/>
  <c r="X312" i="1"/>
  <c r="Z311" i="1"/>
  <c r="Y311" i="1"/>
  <c r="X311" i="1"/>
  <c r="Z310" i="1"/>
  <c r="Y310" i="1"/>
  <c r="X310" i="1"/>
  <c r="V315" i="1" l="1"/>
  <c r="Z314" i="1"/>
  <c r="Y314" i="1"/>
  <c r="X314" i="1"/>
  <c r="V316" i="1" l="1"/>
  <c r="Z315" i="1"/>
  <c r="Y315" i="1"/>
  <c r="X315" i="1"/>
  <c r="Z316" i="1" l="1"/>
  <c r="Y316" i="1"/>
  <c r="X316" i="1"/>
  <c r="A2" i="4" l="1"/>
  <c r="AI30" i="3"/>
  <c r="AH30" i="3"/>
  <c r="AG30" i="3"/>
  <c r="AF30" i="3"/>
  <c r="AE30" i="3"/>
  <c r="AD30" i="3"/>
  <c r="AC30" i="3"/>
  <c r="AB30" i="3"/>
  <c r="AA30" i="3"/>
  <c r="Z30" i="3"/>
  <c r="Y30" i="3"/>
  <c r="X30" i="3"/>
  <c r="W30" i="3"/>
  <c r="V30" i="3"/>
  <c r="AI28" i="3"/>
  <c r="AH28" i="3"/>
  <c r="AG28" i="3"/>
  <c r="AF28" i="3"/>
  <c r="AE28" i="3"/>
  <c r="AD28" i="3"/>
  <c r="AC28" i="3"/>
  <c r="AB28" i="3"/>
  <c r="AA28" i="3"/>
  <c r="Z28" i="3"/>
  <c r="Y28" i="3"/>
  <c r="X28" i="3"/>
  <c r="W28" i="3"/>
  <c r="V28" i="3"/>
  <c r="T28" i="3"/>
  <c r="S28" i="3"/>
  <c r="R28" i="3"/>
  <c r="Q28" i="3"/>
  <c r="P28" i="3"/>
  <c r="O28" i="3"/>
  <c r="N28" i="3"/>
  <c r="M28" i="3"/>
  <c r="L28" i="3"/>
  <c r="K28" i="3"/>
  <c r="J28" i="3"/>
  <c r="I28" i="3"/>
  <c r="H28" i="3"/>
  <c r="G28" i="3"/>
  <c r="D28" i="3"/>
  <c r="B28" i="3"/>
  <c r="AI27" i="3"/>
  <c r="AH27" i="3"/>
  <c r="AG27" i="3"/>
  <c r="AF27" i="3"/>
  <c r="AE27" i="3"/>
  <c r="AD27" i="3"/>
  <c r="AC27" i="3"/>
  <c r="AB27" i="3"/>
  <c r="AA27" i="3"/>
  <c r="Z27" i="3"/>
  <c r="Y27" i="3"/>
  <c r="X27" i="3"/>
  <c r="W27" i="3"/>
  <c r="V27" i="3"/>
  <c r="T27" i="3"/>
  <c r="S27" i="3"/>
  <c r="R27" i="3"/>
  <c r="Q27" i="3"/>
  <c r="P27" i="3"/>
  <c r="O27" i="3"/>
  <c r="N27" i="3"/>
  <c r="M27" i="3"/>
  <c r="L27" i="3"/>
  <c r="K27" i="3"/>
  <c r="J27" i="3"/>
  <c r="I27" i="3"/>
  <c r="H27" i="3"/>
  <c r="G27" i="3"/>
  <c r="D27" i="3"/>
  <c r="B27" i="3"/>
  <c r="AI23" i="3"/>
  <c r="AH23" i="3"/>
  <c r="AG23" i="3"/>
  <c r="AF23" i="3"/>
  <c r="AE23" i="3"/>
  <c r="AD23" i="3"/>
  <c r="AC23" i="3"/>
  <c r="AB23" i="3"/>
  <c r="AA23" i="3"/>
  <c r="Z23" i="3"/>
  <c r="Y23" i="3"/>
  <c r="X23" i="3"/>
  <c r="W23" i="3"/>
  <c r="V23" i="3"/>
  <c r="AI21" i="3"/>
  <c r="AH21" i="3"/>
  <c r="AG21" i="3"/>
  <c r="AF21" i="3"/>
  <c r="AE21" i="3"/>
  <c r="AD21" i="3"/>
  <c r="AC21" i="3"/>
  <c r="AB21" i="3"/>
  <c r="AA21" i="3"/>
  <c r="Z21" i="3"/>
  <c r="Y21" i="3"/>
  <c r="X21" i="3"/>
  <c r="W21" i="3"/>
  <c r="V21" i="3"/>
  <c r="T21" i="3"/>
  <c r="S21" i="3"/>
  <c r="R21" i="3"/>
  <c r="Q21" i="3"/>
  <c r="P21" i="3"/>
  <c r="O21" i="3"/>
  <c r="N21" i="3"/>
  <c r="M21" i="3"/>
  <c r="L21" i="3"/>
  <c r="K21" i="3"/>
  <c r="J21" i="3"/>
  <c r="I21" i="3"/>
  <c r="H21" i="3"/>
  <c r="G21" i="3"/>
  <c r="D21" i="3"/>
  <c r="B21" i="3"/>
  <c r="AI20" i="3"/>
  <c r="AH20" i="3"/>
  <c r="AG20" i="3"/>
  <c r="AF20" i="3"/>
  <c r="AE20" i="3"/>
  <c r="AD20" i="3"/>
  <c r="AC20" i="3"/>
  <c r="AB20" i="3"/>
  <c r="AA20" i="3"/>
  <c r="Z20" i="3"/>
  <c r="Y20" i="3"/>
  <c r="X20" i="3"/>
  <c r="W20" i="3"/>
  <c r="V20" i="3"/>
  <c r="T20" i="3"/>
  <c r="S20" i="3"/>
  <c r="R20" i="3"/>
  <c r="Q20" i="3"/>
  <c r="P20" i="3"/>
  <c r="O20" i="3"/>
  <c r="O23" i="3" s="1"/>
  <c r="N20" i="3"/>
  <c r="M20" i="3"/>
  <c r="L20" i="3"/>
  <c r="K20" i="3"/>
  <c r="J20" i="3"/>
  <c r="I20" i="3"/>
  <c r="H20" i="3"/>
  <c r="G20" i="3"/>
  <c r="G23" i="3" s="1"/>
  <c r="D20" i="3"/>
  <c r="B20" i="3"/>
  <c r="AI16" i="3"/>
  <c r="AH16" i="3"/>
  <c r="AG16" i="3"/>
  <c r="AF16" i="3"/>
  <c r="AE16" i="3"/>
  <c r="AD16" i="3"/>
  <c r="AC16" i="3"/>
  <c r="AB16" i="3"/>
  <c r="AA16" i="3"/>
  <c r="Z16" i="3"/>
  <c r="Y16" i="3"/>
  <c r="X16" i="3"/>
  <c r="W16" i="3"/>
  <c r="V16" i="3"/>
  <c r="AI14" i="3"/>
  <c r="AH14" i="3"/>
  <c r="AG14" i="3"/>
  <c r="AF14" i="3"/>
  <c r="AE14" i="3"/>
  <c r="AD14" i="3"/>
  <c r="AC14" i="3"/>
  <c r="AB14" i="3"/>
  <c r="AA14" i="3"/>
  <c r="Z14" i="3"/>
  <c r="Y14" i="3"/>
  <c r="X14" i="3"/>
  <c r="W14" i="3"/>
  <c r="V14" i="3"/>
  <c r="T14" i="3"/>
  <c r="S14" i="3"/>
  <c r="R14" i="3"/>
  <c r="Q14" i="3"/>
  <c r="P14" i="3"/>
  <c r="O14" i="3"/>
  <c r="N14" i="3"/>
  <c r="M14" i="3"/>
  <c r="L14" i="3"/>
  <c r="K14" i="3"/>
  <c r="J14" i="3"/>
  <c r="I14" i="3"/>
  <c r="H14" i="3"/>
  <c r="G14" i="3"/>
  <c r="D14" i="3"/>
  <c r="B14" i="3"/>
  <c r="AI13" i="3"/>
  <c r="AH13" i="3"/>
  <c r="AG13" i="3"/>
  <c r="AF13" i="3"/>
  <c r="AE13" i="3"/>
  <c r="AD13" i="3"/>
  <c r="AC13" i="3"/>
  <c r="AB13" i="3"/>
  <c r="AA13" i="3"/>
  <c r="Z13" i="3"/>
  <c r="Y13" i="3"/>
  <c r="X13" i="3"/>
  <c r="W13" i="3"/>
  <c r="V13" i="3"/>
  <c r="T13" i="3"/>
  <c r="S13" i="3"/>
  <c r="R13" i="3"/>
  <c r="Q13" i="3"/>
  <c r="P13" i="3"/>
  <c r="O13" i="3"/>
  <c r="N13" i="3"/>
  <c r="M13" i="3"/>
  <c r="L13" i="3"/>
  <c r="K13" i="3"/>
  <c r="J13" i="3"/>
  <c r="I13" i="3"/>
  <c r="I16" i="3" s="1"/>
  <c r="H13" i="3"/>
  <c r="G13" i="3"/>
  <c r="D13" i="3"/>
  <c r="B13" i="3"/>
  <c r="AI9" i="3"/>
  <c r="AH9" i="3"/>
  <c r="AG9" i="3"/>
  <c r="AF9" i="3"/>
  <c r="AE9" i="3"/>
  <c r="AD9" i="3"/>
  <c r="AC9" i="3"/>
  <c r="AB9" i="3"/>
  <c r="AA9" i="3"/>
  <c r="Z9" i="3"/>
  <c r="Y9" i="3"/>
  <c r="X9" i="3"/>
  <c r="W9" i="3"/>
  <c r="V9" i="3"/>
  <c r="AI7" i="3"/>
  <c r="AH7" i="3"/>
  <c r="AG7" i="3"/>
  <c r="AF7" i="3"/>
  <c r="AE7" i="3"/>
  <c r="AD7" i="3"/>
  <c r="AC7" i="3"/>
  <c r="AB7" i="3"/>
  <c r="AA7" i="3"/>
  <c r="Z7" i="3"/>
  <c r="Y7" i="3"/>
  <c r="X7" i="3"/>
  <c r="W7" i="3"/>
  <c r="V7" i="3"/>
  <c r="T7" i="3"/>
  <c r="S7" i="3"/>
  <c r="R7" i="3"/>
  <c r="Q7" i="3"/>
  <c r="P7" i="3"/>
  <c r="O7" i="3"/>
  <c r="N7" i="3"/>
  <c r="M7" i="3"/>
  <c r="L7" i="3"/>
  <c r="K7" i="3"/>
  <c r="J7" i="3"/>
  <c r="I7" i="3"/>
  <c r="H7" i="3"/>
  <c r="G7" i="3"/>
  <c r="D7" i="3"/>
  <c r="B7" i="3"/>
  <c r="AI6" i="3"/>
  <c r="AH6" i="3"/>
  <c r="AG6" i="3"/>
  <c r="AF6" i="3"/>
  <c r="AE6" i="3"/>
  <c r="AD6" i="3"/>
  <c r="AC6" i="3"/>
  <c r="AB6" i="3"/>
  <c r="AA6" i="3"/>
  <c r="Z6" i="3"/>
  <c r="Y6" i="3"/>
  <c r="X6" i="3"/>
  <c r="W6" i="3"/>
  <c r="V6" i="3"/>
  <c r="T6" i="3"/>
  <c r="S6" i="3"/>
  <c r="R6" i="3"/>
  <c r="Q6" i="3"/>
  <c r="P6" i="3"/>
  <c r="O6" i="3"/>
  <c r="N6" i="3"/>
  <c r="M6" i="3"/>
  <c r="L6" i="3"/>
  <c r="K6" i="3"/>
  <c r="J6" i="3"/>
  <c r="I6" i="3"/>
  <c r="H6" i="3"/>
  <c r="G6" i="3"/>
  <c r="D6" i="3"/>
  <c r="B6" i="3"/>
  <c r="AI5" i="3"/>
  <c r="AH5" i="3"/>
  <c r="AG5" i="3"/>
  <c r="AF5" i="3"/>
  <c r="AE5" i="3"/>
  <c r="AD5" i="3"/>
  <c r="AC5" i="3"/>
  <c r="AB5" i="3"/>
  <c r="AA5" i="3"/>
  <c r="Z5" i="3"/>
  <c r="Y5" i="3"/>
  <c r="X5" i="3"/>
  <c r="W5" i="3"/>
  <c r="V5" i="3"/>
  <c r="T5" i="3"/>
  <c r="S5" i="3"/>
  <c r="R5" i="3"/>
  <c r="Q5" i="3"/>
  <c r="P5" i="3"/>
  <c r="O5" i="3"/>
  <c r="N5" i="3"/>
  <c r="M5" i="3"/>
  <c r="L5" i="3"/>
  <c r="K5" i="3"/>
  <c r="J5" i="3"/>
  <c r="I5" i="3"/>
  <c r="H5" i="3"/>
  <c r="G5" i="3"/>
  <c r="D5" i="3"/>
  <c r="B5" i="3"/>
  <c r="AI4" i="3"/>
  <c r="AH4" i="3"/>
  <c r="AG4" i="3"/>
  <c r="AF4" i="3"/>
  <c r="AE4" i="3"/>
  <c r="AD4" i="3"/>
  <c r="AC4" i="3"/>
  <c r="AB4" i="3"/>
  <c r="AA4" i="3"/>
  <c r="Z4" i="3"/>
  <c r="Y4" i="3"/>
  <c r="X4" i="3"/>
  <c r="W4" i="3"/>
  <c r="V4" i="3"/>
  <c r="T4" i="3"/>
  <c r="S4" i="3"/>
  <c r="R4" i="3"/>
  <c r="Q4" i="3"/>
  <c r="P4" i="3"/>
  <c r="O4" i="3"/>
  <c r="N4" i="3"/>
  <c r="M4" i="3"/>
  <c r="L4" i="3"/>
  <c r="K4" i="3"/>
  <c r="J4" i="3"/>
  <c r="I4" i="3"/>
  <c r="H4" i="3"/>
  <c r="G4" i="3"/>
  <c r="D4" i="3"/>
  <c r="B4" i="3"/>
  <c r="AI3" i="3"/>
  <c r="AH3" i="3"/>
  <c r="AG3" i="3"/>
  <c r="AF3" i="3"/>
  <c r="AE3" i="3"/>
  <c r="AD3" i="3"/>
  <c r="AC3" i="3"/>
  <c r="AB3" i="3"/>
  <c r="AA3" i="3"/>
  <c r="Z3" i="3"/>
  <c r="Y3" i="3"/>
  <c r="X3" i="3"/>
  <c r="W3" i="3"/>
  <c r="V3" i="3"/>
  <c r="T3" i="3"/>
  <c r="S3" i="3"/>
  <c r="R3" i="3"/>
  <c r="Q3" i="3"/>
  <c r="P3" i="3"/>
  <c r="O3" i="3"/>
  <c r="N3" i="3"/>
  <c r="M3" i="3"/>
  <c r="L3" i="3"/>
  <c r="K3" i="3"/>
  <c r="J3" i="3"/>
  <c r="I3" i="3"/>
  <c r="H3" i="3"/>
  <c r="G3" i="3"/>
  <c r="D3" i="3"/>
  <c r="B3" i="3"/>
  <c r="AI2" i="3"/>
  <c r="AH2" i="3"/>
  <c r="AG2" i="3"/>
  <c r="AF2" i="3"/>
  <c r="AE2" i="3"/>
  <c r="AD2" i="3"/>
  <c r="AC2" i="3"/>
  <c r="AB2" i="3"/>
  <c r="AA2" i="3"/>
  <c r="Z2" i="3"/>
  <c r="Y2" i="3"/>
  <c r="X2" i="3"/>
  <c r="W2" i="3"/>
  <c r="V2" i="3"/>
  <c r="T2" i="3"/>
  <c r="S2" i="3"/>
  <c r="S9" i="3" s="1"/>
  <c r="R2" i="3"/>
  <c r="Q2" i="3"/>
  <c r="P2" i="3"/>
  <c r="O2" i="3"/>
  <c r="N2" i="3"/>
  <c r="M2" i="3"/>
  <c r="L2" i="3"/>
  <c r="K2" i="3"/>
  <c r="K9" i="3" s="1"/>
  <c r="J2" i="3"/>
  <c r="I2" i="3"/>
  <c r="H2" i="3"/>
  <c r="G2" i="3"/>
  <c r="D2" i="3"/>
  <c r="B2" i="3"/>
  <c r="BF316" i="1"/>
  <c r="BF315" i="1"/>
  <c r="BF314" i="1"/>
  <c r="BF313" i="1"/>
  <c r="BF312" i="1"/>
  <c r="BF311" i="1"/>
  <c r="BF310" i="1"/>
  <c r="BF309" i="1"/>
  <c r="BF308" i="1"/>
  <c r="BF307" i="1"/>
  <c r="BF306" i="1"/>
  <c r="BF305" i="1"/>
  <c r="BF304" i="1"/>
  <c r="BF303" i="1"/>
  <c r="BF302" i="1"/>
  <c r="BF301" i="1"/>
  <c r="BF300" i="1"/>
  <c r="BF299" i="1"/>
  <c r="BF298" i="1"/>
  <c r="BF297" i="1"/>
  <c r="BF296" i="1"/>
  <c r="BF295" i="1"/>
  <c r="BF294" i="1"/>
  <c r="BF293" i="1"/>
  <c r="BF292" i="1"/>
  <c r="BF291" i="1"/>
  <c r="BF290" i="1"/>
  <c r="BF289" i="1"/>
  <c r="BF288" i="1"/>
  <c r="BF287" i="1"/>
  <c r="BF286" i="1"/>
  <c r="BF285" i="1"/>
  <c r="BF284" i="1"/>
  <c r="BF283" i="1"/>
  <c r="BF282" i="1"/>
  <c r="BF281" i="1"/>
  <c r="BF280" i="1"/>
  <c r="BF279" i="1"/>
  <c r="BF278" i="1"/>
  <c r="BF277" i="1"/>
  <c r="BF276" i="1"/>
  <c r="BF275" i="1"/>
  <c r="BF274" i="1"/>
  <c r="BF273" i="1"/>
  <c r="BF272" i="1"/>
  <c r="BF271" i="1"/>
  <c r="BF270" i="1"/>
  <c r="BF269" i="1"/>
  <c r="BF268" i="1"/>
  <c r="BF267" i="1"/>
  <c r="BF266" i="1"/>
  <c r="BF265" i="1"/>
  <c r="BF264" i="1"/>
  <c r="BF263" i="1"/>
  <c r="BF262" i="1"/>
  <c r="BF261" i="1"/>
  <c r="BF260" i="1"/>
  <c r="BF259" i="1"/>
  <c r="BF258" i="1"/>
  <c r="BF257" i="1"/>
  <c r="BF256" i="1"/>
  <c r="BF255" i="1"/>
  <c r="BF254" i="1"/>
  <c r="BF253" i="1"/>
  <c r="BF252" i="1"/>
  <c r="BF251" i="1"/>
  <c r="BF250" i="1"/>
  <c r="BF249" i="1"/>
  <c r="BF248" i="1"/>
  <c r="BF247" i="1"/>
  <c r="BF246" i="1"/>
  <c r="BF245" i="1"/>
  <c r="BF244" i="1"/>
  <c r="BF243" i="1"/>
  <c r="BF242" i="1"/>
  <c r="BF241" i="1"/>
  <c r="BF240" i="1"/>
  <c r="BF239" i="1"/>
  <c r="BF238" i="1"/>
  <c r="BF237" i="1"/>
  <c r="BF236" i="1"/>
  <c r="BF235" i="1"/>
  <c r="BF234" i="1"/>
  <c r="BF233" i="1"/>
  <c r="BF232" i="1"/>
  <c r="BF231" i="1"/>
  <c r="BF230" i="1"/>
  <c r="BF229" i="1"/>
  <c r="BF228" i="1"/>
  <c r="BF227" i="1"/>
  <c r="BF226" i="1"/>
  <c r="BF225" i="1"/>
  <c r="BF224" i="1"/>
  <c r="BF223" i="1"/>
  <c r="BF222" i="1"/>
  <c r="BF221" i="1"/>
  <c r="BF220" i="1"/>
  <c r="BF219" i="1"/>
  <c r="BF218" i="1"/>
  <c r="BF217" i="1"/>
  <c r="BF216" i="1"/>
  <c r="BF215" i="1"/>
  <c r="BF214" i="1"/>
  <c r="BF213" i="1"/>
  <c r="BF212" i="1"/>
  <c r="BF211" i="1"/>
  <c r="BF210" i="1"/>
  <c r="BF209" i="1"/>
  <c r="BF208" i="1"/>
  <c r="BF207" i="1"/>
  <c r="BF206" i="1"/>
  <c r="BF205" i="1"/>
  <c r="BF204" i="1"/>
  <c r="BF203" i="1"/>
  <c r="BF202" i="1"/>
  <c r="BF201" i="1"/>
  <c r="BF200" i="1"/>
  <c r="BF199" i="1"/>
  <c r="BF198" i="1"/>
  <c r="BF197" i="1"/>
  <c r="BF196" i="1"/>
  <c r="BF195" i="1"/>
  <c r="BF194" i="1"/>
  <c r="BF193" i="1"/>
  <c r="BF192" i="1"/>
  <c r="BF191" i="1"/>
  <c r="BF190" i="1"/>
  <c r="BF189" i="1"/>
  <c r="BF188" i="1"/>
  <c r="BF187" i="1"/>
  <c r="BF186" i="1"/>
  <c r="BF185" i="1"/>
  <c r="BF184" i="1"/>
  <c r="BF183" i="1"/>
  <c r="BF182" i="1"/>
  <c r="BF181" i="1"/>
  <c r="BF180" i="1"/>
  <c r="BF179" i="1"/>
  <c r="BF178" i="1"/>
  <c r="BF177" i="1"/>
  <c r="BF176" i="1"/>
  <c r="BF175" i="1"/>
  <c r="BF174" i="1"/>
  <c r="BF173" i="1"/>
  <c r="BF172" i="1"/>
  <c r="BF171" i="1"/>
  <c r="BF170" i="1"/>
  <c r="BF169" i="1"/>
  <c r="BF168" i="1"/>
  <c r="BF167" i="1"/>
  <c r="BF166" i="1"/>
  <c r="BF165" i="1"/>
  <c r="BF164" i="1"/>
  <c r="BF163" i="1"/>
  <c r="BF162" i="1"/>
  <c r="BF161" i="1"/>
  <c r="BF160" i="1"/>
  <c r="BF159" i="1"/>
  <c r="BF158" i="1"/>
  <c r="BF157" i="1"/>
  <c r="BF156" i="1"/>
  <c r="BF155" i="1"/>
  <c r="BF154" i="1"/>
  <c r="BF153" i="1"/>
  <c r="BF152" i="1"/>
  <c r="BF151" i="1"/>
  <c r="BF150" i="1"/>
  <c r="BF149" i="1"/>
  <c r="BF148" i="1"/>
  <c r="BF147" i="1"/>
  <c r="BF146" i="1"/>
  <c r="BF145" i="1"/>
  <c r="BF144" i="1"/>
  <c r="BF143" i="1"/>
  <c r="BF142" i="1"/>
  <c r="BF141" i="1"/>
  <c r="BF140" i="1"/>
  <c r="BF139" i="1"/>
  <c r="BF138" i="1"/>
  <c r="BF137" i="1"/>
  <c r="BF136" i="1"/>
  <c r="BF135" i="1"/>
  <c r="BF134" i="1"/>
  <c r="BF133" i="1"/>
  <c r="BF132" i="1"/>
  <c r="BF131" i="1"/>
  <c r="BF130" i="1"/>
  <c r="BF129" i="1"/>
  <c r="BF128" i="1"/>
  <c r="BF127" i="1"/>
  <c r="BF126" i="1"/>
  <c r="BF125" i="1"/>
  <c r="BF124" i="1"/>
  <c r="BF123" i="1"/>
  <c r="BF122" i="1"/>
  <c r="BF121" i="1"/>
  <c r="BF120" i="1"/>
  <c r="BF119" i="1"/>
  <c r="BF118" i="1"/>
  <c r="BF117" i="1"/>
  <c r="BF116" i="1"/>
  <c r="BF115" i="1"/>
  <c r="BF114" i="1"/>
  <c r="BF113" i="1"/>
  <c r="BF112" i="1"/>
  <c r="BF111" i="1"/>
  <c r="BF110" i="1"/>
  <c r="BF109" i="1"/>
  <c r="BF108" i="1"/>
  <c r="BF107" i="1"/>
  <c r="BF106" i="1"/>
  <c r="BF105" i="1"/>
  <c r="BF104" i="1"/>
  <c r="BF103" i="1"/>
  <c r="BF102" i="1"/>
  <c r="BF101" i="1"/>
  <c r="BF100" i="1"/>
  <c r="BF99" i="1"/>
  <c r="BF98" i="1"/>
  <c r="BF97" i="1"/>
  <c r="BF96" i="1"/>
  <c r="BF95" i="1"/>
  <c r="BF94" i="1"/>
  <c r="BF93" i="1"/>
  <c r="BF92" i="1"/>
  <c r="BF91" i="1"/>
  <c r="BF90" i="1"/>
  <c r="BH90" i="1" s="1"/>
  <c r="BF89" i="1"/>
  <c r="BH89" i="1" s="1"/>
  <c r="BF88" i="1"/>
  <c r="BH88" i="1" s="1"/>
  <c r="BF87" i="1"/>
  <c r="BH87" i="1" s="1"/>
  <c r="BF86" i="1"/>
  <c r="BH86" i="1" s="1"/>
  <c r="BF85" i="1"/>
  <c r="BH85" i="1" s="1"/>
  <c r="BF84" i="1"/>
  <c r="BH84" i="1" s="1"/>
  <c r="BF83" i="1"/>
  <c r="BH83" i="1" s="1"/>
  <c r="BF82" i="1"/>
  <c r="BH82" i="1" s="1"/>
  <c r="BF81" i="1"/>
  <c r="BH81" i="1" s="1"/>
  <c r="BF80" i="1"/>
  <c r="BH80" i="1" s="1"/>
  <c r="BF79" i="1"/>
  <c r="BH79" i="1" s="1"/>
  <c r="BF78" i="1"/>
  <c r="BH78" i="1" s="1"/>
  <c r="BF77" i="1"/>
  <c r="BH77" i="1" s="1"/>
  <c r="BF76" i="1"/>
  <c r="BH76" i="1" s="1"/>
  <c r="BF75" i="1"/>
  <c r="BH75" i="1" s="1"/>
  <c r="BF74" i="1"/>
  <c r="BH74" i="1" s="1"/>
  <c r="BF73" i="1"/>
  <c r="BH73" i="1" s="1"/>
  <c r="BF72" i="1"/>
  <c r="BH72" i="1" s="1"/>
  <c r="BF71" i="1"/>
  <c r="BH71" i="1" s="1"/>
  <c r="BF70" i="1"/>
  <c r="BH70" i="1" s="1"/>
  <c r="BF69" i="1"/>
  <c r="BH69" i="1" s="1"/>
  <c r="BF68" i="1"/>
  <c r="BH68" i="1" s="1"/>
  <c r="BF67" i="1"/>
  <c r="BH67" i="1" s="1"/>
  <c r="BF66" i="1"/>
  <c r="BH66" i="1" s="1"/>
  <c r="BF65" i="1"/>
  <c r="BH65" i="1" s="1"/>
  <c r="BF64" i="1"/>
  <c r="BH64" i="1" s="1"/>
  <c r="BF63" i="1"/>
  <c r="BH63" i="1" s="1"/>
  <c r="BF62" i="1"/>
  <c r="BH62" i="1" s="1"/>
  <c r="BF61" i="1"/>
  <c r="BH61" i="1" s="1"/>
  <c r="BF60" i="1"/>
  <c r="BH60" i="1" s="1"/>
  <c r="BF59" i="1"/>
  <c r="BH59" i="1" s="1"/>
  <c r="BF58" i="1"/>
  <c r="BH58" i="1" s="1"/>
  <c r="BF57" i="1"/>
  <c r="BH57" i="1" s="1"/>
  <c r="BF56" i="1"/>
  <c r="BH56" i="1" s="1"/>
  <c r="BF55" i="1"/>
  <c r="BH55" i="1" s="1"/>
  <c r="BF54" i="1"/>
  <c r="BH54" i="1" s="1"/>
  <c r="BF53" i="1"/>
  <c r="BH53" i="1" s="1"/>
  <c r="BF52" i="1"/>
  <c r="BH52" i="1" s="1"/>
  <c r="BF51" i="1"/>
  <c r="BH51" i="1" s="1"/>
  <c r="BF50" i="1"/>
  <c r="BH50" i="1" s="1"/>
  <c r="BF49" i="1"/>
  <c r="BH49" i="1" s="1"/>
  <c r="BF48" i="1"/>
  <c r="BH48" i="1" s="1"/>
  <c r="BF47" i="1"/>
  <c r="BH47" i="1" s="1"/>
  <c r="BF46" i="1"/>
  <c r="BH46" i="1" s="1"/>
  <c r="BF45" i="1"/>
  <c r="BH45" i="1" s="1"/>
  <c r="BF44" i="1"/>
  <c r="BH44" i="1" s="1"/>
  <c r="BF43" i="1"/>
  <c r="BH43" i="1" s="1"/>
  <c r="BF42" i="1"/>
  <c r="BH42" i="1" s="1"/>
  <c r="BF41" i="1"/>
  <c r="BH41" i="1" s="1"/>
  <c r="BF40" i="1"/>
  <c r="BH40" i="1" s="1"/>
  <c r="BF39" i="1"/>
  <c r="BH39" i="1" s="1"/>
  <c r="BF38" i="1"/>
  <c r="BH38" i="1" s="1"/>
  <c r="BF37" i="1"/>
  <c r="BH37" i="1" s="1"/>
  <c r="BF36" i="1"/>
  <c r="BH36" i="1" s="1"/>
  <c r="BF35" i="1"/>
  <c r="BH35" i="1" s="1"/>
  <c r="BF34" i="1"/>
  <c r="BH34" i="1" s="1"/>
  <c r="BF33" i="1"/>
  <c r="BH33" i="1" s="1"/>
  <c r="BF32" i="1"/>
  <c r="BH32" i="1" s="1"/>
  <c r="BF31" i="1"/>
  <c r="BH31" i="1" s="1"/>
  <c r="BF30" i="1"/>
  <c r="BH30" i="1" s="1"/>
  <c r="BF29" i="1"/>
  <c r="BH29" i="1" s="1"/>
  <c r="BF28" i="1"/>
  <c r="BH28" i="1" s="1"/>
  <c r="BF27" i="1"/>
  <c r="BH27" i="1" s="1"/>
  <c r="BF26" i="1"/>
  <c r="BH26" i="1" s="1"/>
  <c r="BF25" i="1"/>
  <c r="BH25" i="1" s="1"/>
  <c r="BF24" i="1"/>
  <c r="BH24" i="1" s="1"/>
  <c r="BF23" i="1"/>
  <c r="BH23" i="1" s="1"/>
  <c r="BF22" i="1"/>
  <c r="BH22" i="1" s="1"/>
  <c r="BF21" i="1"/>
  <c r="BH21" i="1" s="1"/>
  <c r="BF20" i="1"/>
  <c r="BH20" i="1" s="1"/>
  <c r="BF19" i="1"/>
  <c r="BH19" i="1" s="1"/>
  <c r="BF18" i="1"/>
  <c r="BH18" i="1" s="1"/>
  <c r="BF17" i="1"/>
  <c r="BH17" i="1" s="1"/>
  <c r="BF16" i="1"/>
  <c r="BH16" i="1" s="1"/>
  <c r="BF15" i="1"/>
  <c r="BH15" i="1" s="1"/>
  <c r="BF14" i="1"/>
  <c r="BH14" i="1" s="1"/>
  <c r="BF13" i="1"/>
  <c r="BH13" i="1" s="1"/>
  <c r="BF12" i="1"/>
  <c r="BH12" i="1" s="1"/>
  <c r="BF11" i="1"/>
  <c r="BH11" i="1" s="1"/>
  <c r="BF10" i="1"/>
  <c r="BH10" i="1" s="1"/>
  <c r="BF9" i="1"/>
  <c r="BH9" i="1" s="1"/>
  <c r="BF8" i="1"/>
  <c r="BH8" i="1" s="1"/>
  <c r="BF7" i="1"/>
  <c r="BH7" i="1" s="1"/>
  <c r="BF6" i="1"/>
  <c r="BH6" i="1" s="1"/>
  <c r="BF5" i="1"/>
  <c r="BH5" i="1" s="1"/>
  <c r="BF4" i="1"/>
  <c r="BH4" i="1" s="1"/>
  <c r="BF3" i="1"/>
  <c r="BH3" i="1" s="1"/>
  <c r="C5" i="3" l="1"/>
  <c r="C13" i="3"/>
  <c r="C21" i="3"/>
  <c r="L23" i="3"/>
  <c r="T23" i="3"/>
  <c r="R30" i="3"/>
  <c r="C4" i="3"/>
  <c r="C20" i="3"/>
  <c r="C23" i="3" s="1"/>
  <c r="C28" i="3"/>
  <c r="E3" i="3"/>
  <c r="E7" i="3"/>
  <c r="J16" i="3"/>
  <c r="R16" i="3"/>
  <c r="C6" i="3"/>
  <c r="C14" i="3"/>
  <c r="C3" i="3"/>
  <c r="C7" i="3"/>
  <c r="C27" i="3"/>
  <c r="C30" i="3" s="1"/>
  <c r="E27" i="3"/>
  <c r="D30" i="3"/>
  <c r="E30" i="3" s="1"/>
  <c r="B9" i="3"/>
  <c r="C2" i="3"/>
  <c r="M9" i="3"/>
  <c r="S16" i="3"/>
  <c r="I23" i="3"/>
  <c r="B2" i="4" a="1"/>
  <c r="B2" i="4" s="1"/>
  <c r="A3" i="4"/>
  <c r="C2" i="4"/>
  <c r="E2" i="4"/>
  <c r="D9" i="3"/>
  <c r="E2" i="3"/>
  <c r="N9" i="3"/>
  <c r="E6" i="3"/>
  <c r="T16" i="3"/>
  <c r="E14" i="3"/>
  <c r="H30" i="3"/>
  <c r="P30" i="3"/>
  <c r="G9" i="3"/>
  <c r="C16" i="3"/>
  <c r="M16" i="3"/>
  <c r="I30" i="3"/>
  <c r="Q30" i="3"/>
  <c r="H9" i="3"/>
  <c r="P9" i="3"/>
  <c r="E5" i="3"/>
  <c r="E13" i="3"/>
  <c r="D16" i="3"/>
  <c r="E16" i="3" s="1"/>
  <c r="E21" i="3"/>
  <c r="Q9" i="3"/>
  <c r="O16" i="3"/>
  <c r="M23" i="3"/>
  <c r="S30" i="3"/>
  <c r="R9" i="3"/>
  <c r="E4" i="3"/>
  <c r="P16" i="3"/>
  <c r="D23" i="3"/>
  <c r="E20" i="3"/>
  <c r="T30" i="3"/>
  <c r="O30" i="3" s="1"/>
  <c r="N30" i="3" s="1"/>
  <c r="M30" i="3" s="1"/>
  <c r="L30" i="3" s="1"/>
  <c r="K30" i="3" s="1"/>
  <c r="J30" i="3" s="1"/>
  <c r="G30" i="3" s="1"/>
  <c r="B30" i="3" s="1"/>
  <c r="S23" i="3" s="1"/>
  <c r="R23" i="3" s="1"/>
  <c r="Q23" i="3" s="1"/>
  <c r="P23" i="3" s="1"/>
  <c r="N23" i="3" s="1"/>
  <c r="K23" i="3" s="1"/>
  <c r="J23" i="3" s="1"/>
  <c r="H23" i="3" s="1"/>
  <c r="B23" i="3" s="1"/>
  <c r="Q16" i="3" s="1"/>
  <c r="N16" i="3" s="1"/>
  <c r="L16" i="3" s="1"/>
  <c r="K16" i="3" s="1"/>
  <c r="H16" i="3" s="1"/>
  <c r="G16" i="3" s="1"/>
  <c r="B16" i="3" s="1"/>
  <c r="T9" i="3" s="1"/>
  <c r="O9" i="3" s="1"/>
  <c r="L9" i="3" s="1"/>
  <c r="J9" i="3" s="1"/>
  <c r="I9" i="3" s="1"/>
  <c r="E28" i="3"/>
  <c r="C9" i="3" l="1"/>
  <c r="E9" i="3"/>
  <c r="D2" i="4"/>
  <c r="F2" i="4"/>
  <c r="B3" i="4" a="1"/>
  <c r="B3" i="4" s="1"/>
  <c r="A4" i="4"/>
  <c r="C3" i="4"/>
  <c r="E3" i="4"/>
  <c r="E23" i="3"/>
  <c r="B4" i="4" l="1" a="1"/>
  <c r="B4" i="4" s="1"/>
  <c r="A5" i="4"/>
  <c r="C4" i="4"/>
  <c r="E4" i="4"/>
  <c r="F3" i="4"/>
  <c r="D3" i="4"/>
  <c r="F4" i="4" l="1"/>
  <c r="D4" i="4"/>
  <c r="B5" i="4" a="1"/>
  <c r="B5" i="4" s="1"/>
  <c r="E5" i="4"/>
  <c r="C5" i="4"/>
  <c r="A6" i="4"/>
  <c r="A7" i="4" l="1"/>
  <c r="E6" i="4"/>
  <c r="C6" i="4"/>
  <c r="B6" i="4" a="1"/>
  <c r="B6" i="4" s="1"/>
  <c r="D5" i="4"/>
  <c r="F5" i="4"/>
  <c r="F6" i="4" l="1"/>
  <c r="D6" i="4"/>
  <c r="E7" i="4"/>
  <c r="C7" i="4"/>
  <c r="B7" i="4" a="1"/>
  <c r="B7" i="4" s="1"/>
  <c r="A8" i="4"/>
  <c r="A9" i="4" l="1"/>
  <c r="E8" i="4"/>
  <c r="B8" i="4" a="1"/>
  <c r="B8" i="4" s="1"/>
  <c r="C8" i="4"/>
  <c r="F7" i="4"/>
  <c r="D7" i="4"/>
  <c r="F8" i="4" l="1"/>
  <c r="D8" i="4"/>
  <c r="C9" i="4"/>
  <c r="A10" i="4"/>
  <c r="E9" i="4"/>
  <c r="B9" i="4" a="1"/>
  <c r="B9" i="4" s="1"/>
  <c r="B10" i="4" l="1" a="1"/>
  <c r="B10" i="4" s="1"/>
  <c r="E10" i="4"/>
  <c r="A11" i="4"/>
  <c r="C10" i="4"/>
  <c r="F9" i="4"/>
  <c r="D9" i="4"/>
  <c r="C11" i="4" l="1"/>
  <c r="A12" i="4"/>
  <c r="B11" i="4" a="1"/>
  <c r="B11" i="4" s="1"/>
  <c r="E11" i="4"/>
  <c r="F10" i="4"/>
  <c r="D10" i="4"/>
  <c r="B12" i="4" l="1" a="1"/>
  <c r="B12" i="4" s="1"/>
  <c r="A13" i="4"/>
  <c r="E12" i="4"/>
  <c r="C12" i="4"/>
  <c r="D11" i="4"/>
  <c r="F11" i="4"/>
  <c r="D12" i="4" l="1"/>
  <c r="F12" i="4"/>
  <c r="B13" i="4" a="1"/>
  <c r="B13" i="4" s="1"/>
  <c r="A14" i="4"/>
  <c r="E13" i="4"/>
  <c r="C13" i="4"/>
  <c r="F13" i="4" l="1"/>
  <c r="D13" i="4"/>
  <c r="C14" i="4"/>
  <c r="B14" i="4" a="1"/>
  <c r="B14" i="4" s="1"/>
  <c r="A15" i="4"/>
  <c r="E14" i="4"/>
  <c r="A16" i="4" l="1"/>
  <c r="C15" i="4"/>
  <c r="E15" i="4"/>
  <c r="B15" i="4" a="1"/>
  <c r="B15" i="4" s="1"/>
  <c r="D14" i="4"/>
  <c r="F14" i="4"/>
  <c r="F15" i="4" l="1"/>
  <c r="D15" i="4"/>
  <c r="A17" i="4"/>
  <c r="E16" i="4"/>
  <c r="C16" i="4"/>
  <c r="B16" i="4" a="1"/>
  <c r="B16" i="4" s="1"/>
  <c r="F16" i="4" l="1"/>
  <c r="D16" i="4"/>
  <c r="B17" i="4" a="1"/>
  <c r="B17" i="4" s="1"/>
  <c r="E17" i="4"/>
  <c r="C17" i="4"/>
  <c r="A18" i="4"/>
  <c r="B18" i="4" l="1" a="1"/>
  <c r="B18" i="4" s="1"/>
  <c r="E18" i="4"/>
  <c r="A19" i="4"/>
  <c r="C18" i="4"/>
  <c r="D17" i="4"/>
  <c r="F17" i="4"/>
  <c r="B19" i="4" l="1" a="1"/>
  <c r="B19" i="4" s="1"/>
  <c r="E19" i="4"/>
  <c r="C19" i="4"/>
  <c r="A20" i="4"/>
  <c r="D18" i="4"/>
  <c r="F18" i="4"/>
  <c r="F19" i="4" l="1"/>
  <c r="D19" i="4"/>
  <c r="B20" i="4" a="1"/>
  <c r="B20" i="4" s="1"/>
  <c r="E20" i="4"/>
  <c r="C20" i="4"/>
  <c r="A21" i="4"/>
  <c r="B21" i="4" l="1" a="1"/>
  <c r="B21" i="4" s="1"/>
  <c r="E21" i="4"/>
  <c r="A22" i="4"/>
  <c r="C21" i="4"/>
  <c r="F20" i="4"/>
  <c r="D20" i="4"/>
  <c r="B22" i="4" l="1" a="1"/>
  <c r="B22" i="4" s="1"/>
  <c r="E22" i="4"/>
  <c r="A23" i="4"/>
  <c r="C22" i="4"/>
  <c r="D21" i="4"/>
  <c r="F21" i="4"/>
  <c r="B23" i="4" l="1" a="1"/>
  <c r="B23" i="4" s="1"/>
  <c r="A24" i="4"/>
  <c r="E23" i="4"/>
  <c r="C23" i="4"/>
  <c r="D22" i="4"/>
  <c r="F22" i="4"/>
  <c r="E24" i="4" l="1"/>
  <c r="A25" i="4"/>
  <c r="B24" i="4" a="1"/>
  <c r="B24" i="4" s="1"/>
  <c r="C24" i="4"/>
  <c r="F23" i="4"/>
  <c r="D23" i="4"/>
  <c r="A26" i="4" l="1"/>
  <c r="C25" i="4"/>
  <c r="E25" i="4"/>
  <c r="B25" i="4" a="1"/>
  <c r="B25" i="4" s="1"/>
  <c r="F24" i="4"/>
  <c r="D24" i="4"/>
  <c r="F25" i="4" l="1"/>
  <c r="D25" i="4"/>
  <c r="B26" i="4" a="1"/>
  <c r="B26" i="4" s="1"/>
  <c r="C26" i="4"/>
  <c r="A27" i="4"/>
  <c r="E26" i="4"/>
  <c r="B27" i="4" l="1" a="1"/>
  <c r="B27" i="4" s="1"/>
  <c r="A28" i="4"/>
  <c r="E27" i="4"/>
  <c r="C27" i="4"/>
  <c r="F26" i="4"/>
  <c r="D26" i="4"/>
  <c r="B28" i="4" l="1" a="1"/>
  <c r="B28" i="4" s="1"/>
  <c r="C28" i="4"/>
  <c r="A29" i="4"/>
  <c r="E28" i="4"/>
  <c r="D27" i="4"/>
  <c r="F27" i="4"/>
  <c r="C29" i="4" l="1"/>
  <c r="E29" i="4"/>
  <c r="B29" i="4" a="1"/>
  <c r="B29" i="4" s="1"/>
  <c r="A30" i="4"/>
  <c r="F28" i="4"/>
  <c r="D28" i="4"/>
  <c r="B30" i="4" l="1" a="1"/>
  <c r="B30" i="4" s="1"/>
  <c r="C30" i="4"/>
  <c r="A31" i="4"/>
  <c r="E30" i="4"/>
  <c r="F29" i="4"/>
  <c r="D29" i="4"/>
  <c r="F30" i="4" l="1"/>
  <c r="D30" i="4"/>
  <c r="B31" i="4" a="1"/>
  <c r="B31" i="4" s="1"/>
  <c r="A32" i="4"/>
  <c r="C31" i="4"/>
  <c r="E31" i="4"/>
  <c r="D31" i="4" l="1"/>
  <c r="F31" i="4"/>
  <c r="B32" i="4" a="1"/>
  <c r="B32" i="4" s="1"/>
  <c r="A33" i="4"/>
  <c r="C32" i="4"/>
  <c r="E32" i="4"/>
  <c r="D32" i="4" l="1"/>
  <c r="F32" i="4"/>
  <c r="B33" i="4" a="1"/>
  <c r="B33" i="4" s="1"/>
  <c r="E33" i="4"/>
  <c r="A34" i="4"/>
  <c r="C33" i="4"/>
  <c r="D33" i="4" l="1"/>
  <c r="F33" i="4"/>
  <c r="B34" i="4" a="1"/>
  <c r="B34" i="4" s="1"/>
  <c r="E34" i="4"/>
  <c r="A35" i="4"/>
  <c r="C34" i="4"/>
  <c r="F34" i="4" l="1"/>
  <c r="D34" i="4"/>
  <c r="C35" i="4"/>
  <c r="A36" i="4"/>
  <c r="E35" i="4"/>
  <c r="B35" i="4" a="1"/>
  <c r="B35" i="4" s="1"/>
  <c r="B36" i="4" l="1" a="1"/>
  <c r="B36" i="4" s="1"/>
  <c r="E36" i="4"/>
  <c r="C36" i="4"/>
  <c r="A37" i="4"/>
  <c r="D35" i="4"/>
  <c r="F35" i="4"/>
  <c r="F36" i="4" l="1"/>
  <c r="D36" i="4"/>
  <c r="B37" i="4" a="1"/>
  <c r="B37" i="4" s="1"/>
  <c r="E37" i="4"/>
  <c r="C37" i="4"/>
  <c r="A38" i="4"/>
  <c r="B38" i="4" l="1" a="1"/>
  <c r="B38" i="4" s="1"/>
  <c r="E38" i="4"/>
  <c r="C38" i="4"/>
  <c r="A39" i="4"/>
  <c r="F37" i="4"/>
  <c r="D37" i="4"/>
  <c r="F38" i="4" l="1"/>
  <c r="D38" i="4"/>
  <c r="B39" i="4" a="1"/>
  <c r="B39" i="4" s="1"/>
  <c r="A40" i="4"/>
  <c r="E39" i="4"/>
  <c r="C39" i="4"/>
  <c r="F39" i="4" l="1"/>
  <c r="D39" i="4"/>
  <c r="B40" i="4" a="1"/>
  <c r="B40" i="4" s="1"/>
  <c r="A41" i="4"/>
  <c r="C40" i="4"/>
  <c r="E40" i="4"/>
  <c r="F40" i="4" l="1"/>
  <c r="D40" i="4"/>
  <c r="B41" i="4" a="1"/>
  <c r="B41" i="4" s="1"/>
  <c r="A42" i="4"/>
  <c r="E41" i="4"/>
  <c r="C41" i="4"/>
  <c r="F41" i="4" l="1"/>
  <c r="D41" i="4"/>
  <c r="B42" i="4" a="1"/>
  <c r="B42" i="4" s="1"/>
  <c r="A43" i="4"/>
  <c r="E42" i="4"/>
  <c r="C42" i="4"/>
  <c r="D42" i="4" l="1"/>
  <c r="F42" i="4"/>
  <c r="B43" i="4" a="1"/>
  <c r="B43" i="4" s="1"/>
  <c r="C43" i="4"/>
  <c r="E43" i="4"/>
  <c r="E46" i="4" s="1"/>
  <c r="D43" i="4" l="1"/>
  <c r="D46" i="4" s="1"/>
  <c r="F43" i="4"/>
  <c r="C46" i="4"/>
  <c r="F46"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<sst xmlns="http://schemas.openxmlformats.org/spreadsheetml/2006/main" count="4667" uniqueCount="548">
  <si>
    <t>OFFICIAL RESULTS</t>
  </si>
  <si>
    <t>BETFAIR LAY</t>
  </si>
  <si>
    <t>RACING ODDS COMPARISON</t>
  </si>
  <si>
    <t>SPORTS BEST ODDS AND LINE - EMAIL</t>
  </si>
  <si>
    <t>Win</t>
  </si>
  <si>
    <t>DATE</t>
  </si>
  <si>
    <t>ANALYST</t>
  </si>
  <si>
    <t>TIME SENT</t>
  </si>
  <si>
    <t>EVENT DAY</t>
  </si>
  <si>
    <t>LOCATION</t>
  </si>
  <si>
    <t>SPORT</t>
  </si>
  <si>
    <t>EVENT</t>
  </si>
  <si>
    <t>RACE</t>
  </si>
  <si>
    <t>NO.</t>
  </si>
  <si>
    <t>SELECTION</t>
  </si>
  <si>
    <t>UNITS INVESTED</t>
  </si>
  <si>
    <t>RATED PRICE</t>
  </si>
  <si>
    <t>BFSP</t>
  </si>
  <si>
    <t>BET TYPE</t>
  </si>
  <si>
    <t xml:space="preserve">ODDS </t>
  </si>
  <si>
    <t>RESULT</t>
  </si>
  <si>
    <t>UNITS COLLECTED</t>
  </si>
  <si>
    <t>P/L</t>
  </si>
  <si>
    <t>CUMULATIVE P/L</t>
  </si>
  <si>
    <t>CUMULATIVE UNITS INVESTED</t>
  </si>
  <si>
    <t>POT%</t>
  </si>
  <si>
    <t>ROI%</t>
  </si>
  <si>
    <t>PROFIT ($100 UNIT)</t>
  </si>
  <si>
    <t>BET WIN LOSE</t>
  </si>
  <si>
    <t>PRICE</t>
  </si>
  <si>
    <t>COMMISION</t>
  </si>
  <si>
    <t>EMAIL ODDS</t>
  </si>
  <si>
    <t>AVAILABLE ODDS</t>
  </si>
  <si>
    <t>BEST FIXED EMAIL SENT</t>
  </si>
  <si>
    <t>BEST FIXED CLOSING</t>
  </si>
  <si>
    <t>BETFAIR SP</t>
  </si>
  <si>
    <t>BOB/BTSP</t>
  </si>
  <si>
    <t>BEST TOTE</t>
  </si>
  <si>
    <t>AGENCY</t>
  </si>
  <si>
    <t>EMAIL BEST LINE / TOTAL</t>
  </si>
  <si>
    <t>EMAIL BEST ODDS</t>
  </si>
  <si>
    <t>CLOSING LINE</t>
  </si>
  <si>
    <t>CLOSING PINNACLE</t>
  </si>
  <si>
    <t>CLOSING BETFAIR</t>
  </si>
  <si>
    <t>BET ADVICE</t>
  </si>
  <si>
    <t>EMAIL</t>
  </si>
  <si>
    <t>BTSP</t>
  </si>
  <si>
    <t>TOP FLUC</t>
  </si>
  <si>
    <t>BFSP Converted P&amp;L Less Commission</t>
  </si>
  <si>
    <t>BFSP Price Less Commission</t>
  </si>
  <si>
    <t>Map</t>
  </si>
  <si>
    <t>Resuming</t>
  </si>
  <si>
    <t>Rated Price is higher than BFSP</t>
  </si>
  <si>
    <t>PRICE DEDUCTION</t>
  </si>
  <si>
    <t>BFSP Profit Before commission</t>
  </si>
  <si>
    <t>Race profit before commission</t>
  </si>
  <si>
    <t>Race profit after commission</t>
  </si>
  <si>
    <t>L</t>
  </si>
  <si>
    <t>Date</t>
  </si>
  <si>
    <t>Race No.</t>
  </si>
  <si>
    <t>Runner</t>
  </si>
  <si>
    <t>Horse</t>
  </si>
  <si>
    <t>Rated Price</t>
  </si>
  <si>
    <t>Units</t>
  </si>
  <si>
    <t>BFSP Higher than Rated Price</t>
  </si>
  <si>
    <t>Races</t>
  </si>
  <si>
    <t>Wins</t>
  </si>
  <si>
    <t>Strike Rate</t>
  </si>
  <si>
    <t>Track</t>
  </si>
  <si>
    <t>Units Invested</t>
  </si>
  <si>
    <t>Grand Total</t>
  </si>
  <si>
    <t>1-1.99</t>
  </si>
  <si>
    <t>2-2.99</t>
  </si>
  <si>
    <t>3-3.99</t>
  </si>
  <si>
    <t>4-4.99</t>
  </si>
  <si>
    <t>5-5.99</t>
  </si>
  <si>
    <t>6-6.99</t>
  </si>
  <si>
    <t>7-7.99</t>
  </si>
  <si>
    <t>8-8.99</t>
  </si>
  <si>
    <t>9-9.99</t>
  </si>
  <si>
    <t>10-19.99</t>
  </si>
  <si>
    <t>20-29.99</t>
  </si>
  <si>
    <t>30-39.99</t>
  </si>
  <si>
    <t>40-49.99</t>
  </si>
  <si>
    <t>50+</t>
  </si>
  <si>
    <t>Rated Price POT%</t>
  </si>
  <si>
    <t>BFSP POT%</t>
  </si>
  <si>
    <t/>
  </si>
  <si>
    <t>Weekly Profit</t>
  </si>
  <si>
    <t>Place</t>
  </si>
  <si>
    <t>Bet Type</t>
  </si>
  <si>
    <t>I have been wagering full-time for many years and spend my spare time regularly testing market strategies that outperform Betfair SP, which is an extremely efficient market long-term. I use a data analyst and AI to run factor tests over very large data sets with significant sample sizes. </t>
  </si>
  <si>
    <t>In my database I have over 800,000 runners, with all the form factors you could possibly imagine, and every track is geographically mapped to store the day's wind direction. Another part of my analysis is assessing several ratings providers and running all the form factors through their pricing to see where they are strong and where they are weak, whilst also assessing which price increments are performing the best. Due to the POC taxes, a lot of value has been stripped out of the shorter end of the market. The AI &amp; data analysis clearly shows that the value in the marketplace is backing runners at bigger odds. </t>
  </si>
  <si>
    <t>I have thoroughly tested level staking against proportional unit betting, and level staking backing runners at bigger odds continually provides the best long-term results. What this means though, is the betting becomes somewhat volatile, as we are staking the most in a price range that doesn't win as often, but it produces the highest overall profit and POT% long term. </t>
  </si>
  <si>
    <t>The machine learning capabilities of our AI does the form and pricing the same way for all states, and it has identified that track ratings are very important. Heavy tracks are showing up with negative betting outcomes across Metropolitan racing in all states. I prefer to eliminate losing factors and hence will avoid betting on heavy tracks until the data suggests otherwise.</t>
  </si>
  <si>
    <t>From 1 September 2026, I intend to offer 2 services:</t>
  </si>
  <si>
    <t>First the VIC Tips service of which you are currently a member, will expand into VIC &amp; SA TIPS. Not only will you soon receive SA Tips on top of the VIC tips, but the service will now cover all metropolitan racing, not just Saturdays, but also Wednesdays and any other major metropolitan, holiday or carnival meeting, for the same price.</t>
  </si>
  <si>
    <t>Additionally, there will be a new service available covering NSW &amp; QLD TIPS, again for all Metropolitan races; Saturdays, Wednesdays and any other metropolitan, holiday or carnival meeting.</t>
  </si>
  <si>
    <t>Our analysis is showing very strong results in VIC, SA &amp; QLD on Good &amp; Soft tracks and in NSW on Good tracks. Hence the tips will reflect this, until my data tells me otherwise. </t>
  </si>
  <si>
    <t>Below is a summary of the historical performance over the past 19 months of the proposed betting methods.</t>
  </si>
  <si>
    <t>Units Collected (Net)</t>
  </si>
  <si>
    <t>Profit (Net)</t>
  </si>
  <si>
    <t>I am pleased with the 2026 so far for VIC Tips with +127.2 units profit at 16.8% POT. However I will be making some amendments to dramatically improve the services going forward.</t>
  </si>
  <si>
    <t>STATE</t>
  </si>
  <si>
    <t>Sequinned</t>
  </si>
  <si>
    <t>Albert Palais</t>
  </si>
  <si>
    <t>Wonka</t>
  </si>
  <si>
    <t xml:space="preserve"> Sumac</t>
  </si>
  <si>
    <t>Your Colour</t>
  </si>
  <si>
    <t>Moonlit Wings</t>
  </si>
  <si>
    <t>County Kilkenny</t>
  </si>
  <si>
    <t>Sunburnt Country</t>
  </si>
  <si>
    <t>Proxima Centauri</t>
  </si>
  <si>
    <t>Natural Ruler</t>
  </si>
  <si>
    <t>Winston Hills</t>
  </si>
  <si>
    <t>Storm Season</t>
  </si>
  <si>
    <t>Motoscafo</t>
  </si>
  <si>
    <t>Savoonga</t>
  </si>
  <si>
    <t>Hellbent On You</t>
  </si>
  <si>
    <t>Burn The Sky</t>
  </si>
  <si>
    <t>Kakadu Sunset</t>
  </si>
  <si>
    <t>Thrill Hunter</t>
  </si>
  <si>
    <t>Kwirky Smile</t>
  </si>
  <si>
    <t>Cavalry</t>
  </si>
  <si>
    <t>Clancy</t>
  </si>
  <si>
    <t>Extra Heights</t>
  </si>
  <si>
    <t>Waerea</t>
  </si>
  <si>
    <t>Sociable</t>
  </si>
  <si>
    <t>Anthropoid</t>
  </si>
  <si>
    <t>Action King</t>
  </si>
  <si>
    <t>Sea Admiral</t>
  </si>
  <si>
    <t>Spartus</t>
  </si>
  <si>
    <t>Beau Bandit</t>
  </si>
  <si>
    <t>Wed</t>
  </si>
  <si>
    <t>NSW</t>
  </si>
  <si>
    <t>Warwick Farm</t>
  </si>
  <si>
    <t>un</t>
  </si>
  <si>
    <t>Canterbury</t>
  </si>
  <si>
    <t>Randwick</t>
  </si>
  <si>
    <t>Rosehill</t>
  </si>
  <si>
    <t>Doomben</t>
  </si>
  <si>
    <t>Eagle Farm</t>
  </si>
  <si>
    <t>QLD</t>
  </si>
  <si>
    <t>Mercian</t>
  </si>
  <si>
    <t>Gambler</t>
  </si>
  <si>
    <t>Get Ready Lass</t>
  </si>
  <si>
    <t>Barrengarry</t>
  </si>
  <si>
    <t>Kingston Charm</t>
  </si>
  <si>
    <t>Vexxy</t>
  </si>
  <si>
    <t>Blakemore Avenue</t>
  </si>
  <si>
    <t>Nimble Star</t>
  </si>
  <si>
    <t>Royal Exile</t>
  </si>
  <si>
    <t>Ready To Rush</t>
  </si>
  <si>
    <t>Andrea</t>
  </si>
  <si>
    <t>Tapildoodledo</t>
  </si>
  <si>
    <t>Artful Girl</t>
  </si>
  <si>
    <t>Petticoat</t>
  </si>
  <si>
    <t>Tequila Baby</t>
  </si>
  <si>
    <t>Scillato</t>
  </si>
  <si>
    <t>Cosy Corner</t>
  </si>
  <si>
    <t>West Of Dalby</t>
  </si>
  <si>
    <t>Agatha</t>
  </si>
  <si>
    <t>Immediate</t>
  </si>
  <si>
    <t>Exuberance</t>
  </si>
  <si>
    <t>She Ours</t>
  </si>
  <si>
    <t>Fernao</t>
  </si>
  <si>
    <t>Amplify</t>
  </si>
  <si>
    <t>Capital Asset</t>
  </si>
  <si>
    <t>Luton Hoo</t>
  </si>
  <si>
    <t>Mirra Impact</t>
  </si>
  <si>
    <t>Bold Blaze</t>
  </si>
  <si>
    <t>Bartolf</t>
  </si>
  <si>
    <t>Alabama State</t>
  </si>
  <si>
    <t>Unleeshing</t>
  </si>
  <si>
    <t>Call Me Gorgeous</t>
  </si>
  <si>
    <t>Burj</t>
  </si>
  <si>
    <t>Snack Bar</t>
  </si>
  <si>
    <t>Rose Aye</t>
  </si>
  <si>
    <t>Detrimental</t>
  </si>
  <si>
    <t>Aratiri</t>
  </si>
  <si>
    <t>Riez Souvent</t>
  </si>
  <si>
    <t>Rochedale Hero</t>
  </si>
  <si>
    <t>Rosa Kiss</t>
  </si>
  <si>
    <t>Cherry Bomshell</t>
  </si>
  <si>
    <t>Bangkok Hottie</t>
  </si>
  <si>
    <t>Screen Icon</t>
  </si>
  <si>
    <t>Oh Yes She Did</t>
  </si>
  <si>
    <t>Little Beginnings</t>
  </si>
  <si>
    <t>Transatlantic</t>
  </si>
  <si>
    <t>Attica</t>
  </si>
  <si>
    <t>Soothsayer</t>
  </si>
  <si>
    <t>Warby</t>
  </si>
  <si>
    <t>King's Secret</t>
  </si>
  <si>
    <t>Tiz Worthy</t>
  </si>
  <si>
    <t>Swift Duke</t>
  </si>
  <si>
    <t>Green Spaces</t>
  </si>
  <si>
    <t>Nettuno</t>
  </si>
  <si>
    <t>King Kapa</t>
  </si>
  <si>
    <t>She's Exotic</t>
  </si>
  <si>
    <t>Fortune</t>
  </si>
  <si>
    <t>Sneaky Sunrise</t>
  </si>
  <si>
    <t>Franz Josef</t>
  </si>
  <si>
    <t>Istolea Merc</t>
  </si>
  <si>
    <t>The Mona Lisa</t>
  </si>
  <si>
    <t>Pinhole</t>
  </si>
  <si>
    <t>Sat</t>
  </si>
  <si>
    <t>W</t>
  </si>
  <si>
    <t>Divil A Bit</t>
  </si>
  <si>
    <t>Zaher</t>
  </si>
  <si>
    <t>Data Leak</t>
  </si>
  <si>
    <t>Always A Rainbow</t>
  </si>
  <si>
    <t>Pass The Peak</t>
  </si>
  <si>
    <t>Yiasou</t>
  </si>
  <si>
    <t>I Am Steffi</t>
  </si>
  <si>
    <t>The Main Event</t>
  </si>
  <si>
    <t>Felix The Scat</t>
  </si>
  <si>
    <t>Heuristic</t>
  </si>
  <si>
    <t>Vetwelve</t>
  </si>
  <si>
    <t>Stakeholder</t>
  </si>
  <si>
    <t>Twinkling Star</t>
  </si>
  <si>
    <t>Call Me Sassy</t>
  </si>
  <si>
    <t>Galano</t>
  </si>
  <si>
    <t>Liberty Park</t>
  </si>
  <si>
    <t>Moonshine Run</t>
  </si>
  <si>
    <t>Seo Linn</t>
  </si>
  <si>
    <t>Yet He Moves</t>
  </si>
  <si>
    <t>Noble Conqueror</t>
  </si>
  <si>
    <t>Prince Levi</t>
  </si>
  <si>
    <t>Bold Mac</t>
  </si>
  <si>
    <t>Les Vampires</t>
  </si>
  <si>
    <t>Medatsu</t>
  </si>
  <si>
    <t>Aethelflaed</t>
  </si>
  <si>
    <t>Savisanta</t>
  </si>
  <si>
    <t>Furious</t>
  </si>
  <si>
    <t>Provance</t>
  </si>
  <si>
    <t>Mr Verse</t>
  </si>
  <si>
    <t>Silvanito</t>
  </si>
  <si>
    <t>Beside The Ocean</t>
  </si>
  <si>
    <t>Hidrix</t>
  </si>
  <si>
    <t>Tenenbaum</t>
  </si>
  <si>
    <t>Persian Wonder</t>
  </si>
  <si>
    <t>Hostwin King</t>
  </si>
  <si>
    <t>Galway Flyer</t>
  </si>
  <si>
    <t>She Moves Too</t>
  </si>
  <si>
    <t>Starman</t>
  </si>
  <si>
    <t>Miss De Medici</t>
  </si>
  <si>
    <t>Headhunter</t>
  </si>
  <si>
    <t>Apocalyptic</t>
  </si>
  <si>
    <t>Savvy Hallie</t>
  </si>
  <si>
    <t>Gangsta Granny</t>
  </si>
  <si>
    <t>Castillian</t>
  </si>
  <si>
    <t>Blazen Boots</t>
  </si>
  <si>
    <t>Blazing Harry</t>
  </si>
  <si>
    <t>Hell To Pay</t>
  </si>
  <si>
    <t>Fireball</t>
  </si>
  <si>
    <t>Tron Bolt</t>
  </si>
  <si>
    <t>Central Europe</t>
  </si>
  <si>
    <t>Castillo King</t>
  </si>
  <si>
    <t>Midnight In Tokyo</t>
  </si>
  <si>
    <t>Magnatear</t>
  </si>
  <si>
    <t>Firestorm</t>
  </si>
  <si>
    <t>God's Window</t>
  </si>
  <si>
    <t>Cherry Rose</t>
  </si>
  <si>
    <t>Power Of The Brave</t>
  </si>
  <si>
    <t>Considered</t>
  </si>
  <si>
    <t>Navy Pilot</t>
  </si>
  <si>
    <t>World Alliance</t>
  </si>
  <si>
    <t>Theblade</t>
  </si>
  <si>
    <t>Karinska</t>
  </si>
  <si>
    <t>Kobability</t>
  </si>
  <si>
    <t>Zephyr Song</t>
  </si>
  <si>
    <t>Prophet Of Destiny</t>
  </si>
  <si>
    <t>Dolce Dior</t>
  </si>
  <si>
    <t>Marenaro</t>
  </si>
  <si>
    <t>Jemoma Alpilage</t>
  </si>
  <si>
    <t>Possibilities</t>
  </si>
  <si>
    <t>Magical Moments</t>
  </si>
  <si>
    <t>Spaceballs</t>
  </si>
  <si>
    <t>Abraham</t>
  </si>
  <si>
    <t>Captain Eagle</t>
  </si>
  <si>
    <t>Saveur</t>
  </si>
  <si>
    <t>Flightcrew</t>
  </si>
  <si>
    <t>Blitzgal</t>
  </si>
  <si>
    <t>Hellabella</t>
  </si>
  <si>
    <t>Moscow Maid</t>
  </si>
  <si>
    <t>Mercatello</t>
  </si>
  <si>
    <t>King Of Dragons</t>
  </si>
  <si>
    <t>Savvy Spy</t>
  </si>
  <si>
    <t>Bengal</t>
  </si>
  <si>
    <t>Impendor</t>
  </si>
  <si>
    <t>Martini Mumma</t>
  </si>
  <si>
    <t>Dusty Bay</t>
  </si>
  <si>
    <t>Fiftyfivechevy</t>
  </si>
  <si>
    <t>Dual Mastery</t>
  </si>
  <si>
    <t>Paradise As Usual</t>
  </si>
  <si>
    <t>Five Of Us</t>
  </si>
  <si>
    <t>Chance De Lune</t>
  </si>
  <si>
    <t>Knobelas</t>
  </si>
  <si>
    <t>Cold Brew</t>
  </si>
  <si>
    <t>Starphistocated</t>
  </si>
  <si>
    <t>Aberlour</t>
  </si>
  <si>
    <t>Reconcile</t>
  </si>
  <si>
    <t>Stealth Of Night</t>
  </si>
  <si>
    <t>Elected</t>
  </si>
  <si>
    <t>Razors</t>
  </si>
  <si>
    <t>Linebacker</t>
  </si>
  <si>
    <t>Formal Display</t>
  </si>
  <si>
    <t>Sixties</t>
  </si>
  <si>
    <t>Matcha Latte</t>
  </si>
  <si>
    <t>Taken</t>
  </si>
  <si>
    <t>Eliyass</t>
  </si>
  <si>
    <t>The Euphrates</t>
  </si>
  <si>
    <t>Juja Kibo</t>
  </si>
  <si>
    <t>Royal Air Force</t>
  </si>
  <si>
    <t>Bent Bridge</t>
  </si>
  <si>
    <t>Idle Flyer</t>
  </si>
  <si>
    <t>Moana Nui</t>
  </si>
  <si>
    <t>Bills Angel</t>
  </si>
  <si>
    <t>Lord Protector</t>
  </si>
  <si>
    <t>Mana Combat</t>
  </si>
  <si>
    <t>Mazu</t>
  </si>
  <si>
    <t>Spicy Martini</t>
  </si>
  <si>
    <t>Grafterburners</t>
  </si>
  <si>
    <t>Ciphertext</t>
  </si>
  <si>
    <t>Hawker Hall</t>
  </si>
  <si>
    <t>Golden Straand</t>
  </si>
  <si>
    <t>Hidden Motive</t>
  </si>
  <si>
    <t>Nepo Baby</t>
  </si>
  <si>
    <t>Kalamia King</t>
  </si>
  <si>
    <t>Quartzopolis</t>
  </si>
  <si>
    <t>Aremkay</t>
  </si>
  <si>
    <t>Breezin'</t>
  </si>
  <si>
    <t>Better Sweet</t>
  </si>
  <si>
    <t>Deep Focus</t>
  </si>
  <si>
    <t>Becamo</t>
  </si>
  <si>
    <t>Boondocks</t>
  </si>
  <si>
    <t>Ten Good Reasons</t>
  </si>
  <si>
    <t>Believe In Angels</t>
  </si>
  <si>
    <t>Fireforce</t>
  </si>
  <si>
    <t>Dyami</t>
  </si>
  <si>
    <t>Elnajeeb</t>
  </si>
  <si>
    <t>Gaultier</t>
  </si>
  <si>
    <t>Sorrenti</t>
  </si>
  <si>
    <t>Capital Chord</t>
  </si>
  <si>
    <t>Lady Windermere</t>
  </si>
  <si>
    <t>Condone</t>
  </si>
  <si>
    <t>Whateley</t>
  </si>
  <si>
    <t>Sam Hawkens</t>
  </si>
  <si>
    <t>Bear On The Loose</t>
  </si>
  <si>
    <t>Mukhtalif</t>
  </si>
  <si>
    <t>Mr Chaplin</t>
  </si>
  <si>
    <t>Ruination</t>
  </si>
  <si>
    <t>Pillow Fight</t>
  </si>
  <si>
    <t>Our Emperor</t>
  </si>
  <si>
    <t>Surfin' Bird</t>
  </si>
  <si>
    <t>New Endeavour</t>
  </si>
  <si>
    <t>Sovereign Hill</t>
  </si>
  <si>
    <t>Farnicle</t>
  </si>
  <si>
    <t>Royal Commodore</t>
  </si>
  <si>
    <t>Wootton Lass</t>
  </si>
  <si>
    <t>Lull</t>
  </si>
  <si>
    <t>Dun Darte Cheap</t>
  </si>
  <si>
    <t>Network</t>
  </si>
  <si>
    <t>Deemee</t>
  </si>
  <si>
    <t>Ayasaki</t>
  </si>
  <si>
    <t>Vixenette</t>
  </si>
  <si>
    <t>Sir Beveridge</t>
  </si>
  <si>
    <t>Oakfield Utah</t>
  </si>
  <si>
    <t>Azarax</t>
  </si>
  <si>
    <t>Abender</t>
  </si>
  <si>
    <t>Influential</t>
  </si>
  <si>
    <t>Nkosi</t>
  </si>
  <si>
    <t>Triptolemus</t>
  </si>
  <si>
    <t>Italian Dancer</t>
  </si>
  <si>
    <t>Outta Line</t>
  </si>
  <si>
    <t>Fearless Win</t>
  </si>
  <si>
    <t>Santana</t>
  </si>
  <si>
    <t>Duke Of Arrakis</t>
  </si>
  <si>
    <t>Northern Eyes</t>
  </si>
  <si>
    <t>That's Molly</t>
  </si>
  <si>
    <t>Demarcay</t>
  </si>
  <si>
    <t>Forty Times</t>
  </si>
  <si>
    <t>Think Like Paddy</t>
  </si>
  <si>
    <t>Giapponese</t>
  </si>
  <si>
    <t>Makamae</t>
  </si>
  <si>
    <t>Down Under Stunnah</t>
  </si>
  <si>
    <t>Absolute Sunshine</t>
  </si>
  <si>
    <t>Make A Call</t>
  </si>
  <si>
    <t>Dark Arts</t>
  </si>
  <si>
    <t>Contilda's Love</t>
  </si>
  <si>
    <t>Corrupted</t>
  </si>
  <si>
    <t>I'mintowin</t>
  </si>
  <si>
    <t>Lim's Shavano</t>
  </si>
  <si>
    <t>Midnight Spirit</t>
  </si>
  <si>
    <t>Boys Night Out</t>
  </si>
  <si>
    <t>Nails Murphy</t>
  </si>
  <si>
    <t>Thebudgiesmugla</t>
  </si>
  <si>
    <t>Hopper</t>
  </si>
  <si>
    <t>Perfumist</t>
  </si>
  <si>
    <t>Mr Miller</t>
  </si>
  <si>
    <t>Band Of Brothers</t>
  </si>
  <si>
    <t>Fleetwood</t>
  </si>
  <si>
    <t>Zoubaby</t>
  </si>
  <si>
    <t>Durova</t>
  </si>
  <si>
    <t>Caballus</t>
  </si>
  <si>
    <t>Marhoona</t>
  </si>
  <si>
    <t>Mean Approach</t>
  </si>
  <si>
    <t>Millane</t>
  </si>
  <si>
    <t>Wanaruah</t>
  </si>
  <si>
    <t>Signor Tortoni</t>
  </si>
  <si>
    <t>Swift Sovereign</t>
  </si>
  <si>
    <t>Fantazy Man</t>
  </si>
  <si>
    <t>Canny Queen</t>
  </si>
  <si>
    <t>Darn Cute</t>
  </si>
  <si>
    <t>Erina</t>
  </si>
  <si>
    <t>Hit A Lick</t>
  </si>
  <si>
    <t>Dubai Warrior</t>
  </si>
  <si>
    <t>Elson Boy</t>
  </si>
  <si>
    <t>Who Ever Thought</t>
  </si>
  <si>
    <t>Zale</t>
  </si>
  <si>
    <t>Mosgold</t>
  </si>
  <si>
    <t>Malbork Castle</t>
  </si>
  <si>
    <t>Run Lucy Run</t>
  </si>
  <si>
    <t>Lebanese</t>
  </si>
  <si>
    <t>Snitzstream</t>
  </si>
  <si>
    <t>Snugg</t>
  </si>
  <si>
    <t>Mal Coupe</t>
  </si>
  <si>
    <t>Indigo Star</t>
  </si>
  <si>
    <t>Peccavi</t>
  </si>
  <si>
    <t>Cantiamo</t>
  </si>
  <si>
    <t>Melanite</t>
  </si>
  <si>
    <t>Bruce I Am</t>
  </si>
  <si>
    <t>Podium Star</t>
  </si>
  <si>
    <t>Mon</t>
  </si>
  <si>
    <t>Sky Deck</t>
  </si>
  <si>
    <t>Sphere</t>
  </si>
  <si>
    <t>Good'n'you</t>
  </si>
  <si>
    <t>Superfabulistic</t>
  </si>
  <si>
    <t>Uzziah</t>
  </si>
  <si>
    <t>Tristate</t>
  </si>
  <si>
    <t>Super Norwest</t>
  </si>
  <si>
    <t>Who But Roo</t>
  </si>
  <si>
    <t>Agent Zero</t>
  </si>
  <si>
    <t>Flying From Above</t>
  </si>
  <si>
    <t>Satness</t>
  </si>
  <si>
    <t>Reflect</t>
  </si>
  <si>
    <t>Shotgun Bella</t>
  </si>
  <si>
    <t>Chix</t>
  </si>
  <si>
    <t>Federal Reserve</t>
  </si>
  <si>
    <t>Hammoon Sensation</t>
  </si>
  <si>
    <t>Hip Hip Ole</t>
  </si>
  <si>
    <t>Snowy</t>
  </si>
  <si>
    <t>Sipping Shamus</t>
  </si>
  <si>
    <t>Kingdom Undersiege</t>
  </si>
  <si>
    <t>Puff 'N' Harry</t>
  </si>
  <si>
    <t>Vanessi</t>
  </si>
  <si>
    <t>Scarole</t>
  </si>
  <si>
    <t>Roguery</t>
  </si>
  <si>
    <t>Barcelo</t>
  </si>
  <si>
    <t>The Machine Gun</t>
  </si>
  <si>
    <t>Blessed Eagle</t>
  </si>
  <si>
    <t>Port Erin</t>
  </si>
  <si>
    <t>Shows A Sign</t>
  </si>
  <si>
    <t>Golden Cross</t>
  </si>
  <si>
    <t>Rock Hard Love</t>
  </si>
  <si>
    <t>Tuileries</t>
  </si>
  <si>
    <t>Agarwood</t>
  </si>
  <si>
    <t>Divine Purpose</t>
  </si>
  <si>
    <t>Oakfield Jupiter</t>
  </si>
  <si>
    <t>Kimberley Secrets</t>
  </si>
  <si>
    <t>Regimental Colours</t>
  </si>
  <si>
    <t>Kintyre</t>
  </si>
  <si>
    <t>Space Tracker</t>
  </si>
  <si>
    <t>Boom Torque</t>
  </si>
  <si>
    <t>Ratenotice</t>
  </si>
  <si>
    <t>Texas</t>
  </si>
  <si>
    <t>Fair Shake</t>
  </si>
  <si>
    <t>Seaticflash</t>
  </si>
  <si>
    <t>Just Say Vale</t>
  </si>
  <si>
    <t>Trusty Bandit</t>
  </si>
  <si>
    <t>Diddle Dumpling</t>
  </si>
  <si>
    <t>Andale Andale</t>
  </si>
  <si>
    <t>The Fixer</t>
  </si>
  <si>
    <t>Heart And Spirit</t>
  </si>
  <si>
    <t>Unhinged</t>
  </si>
  <si>
    <t>Drinkwater</t>
  </si>
  <si>
    <t>Amourette</t>
  </si>
  <si>
    <t>Palmetto</t>
  </si>
  <si>
    <t>Pier Pressure</t>
  </si>
  <si>
    <t>Cloudy Scout</t>
  </si>
  <si>
    <t>Rock Them Jools</t>
  </si>
  <si>
    <t>Miss Maranda</t>
  </si>
  <si>
    <t>The Louvre</t>
  </si>
  <si>
    <t>Twisted Queen</t>
  </si>
  <si>
    <t>Gallant Star</t>
  </si>
  <si>
    <t>Russian Ripper</t>
  </si>
  <si>
    <t>Impact Zone</t>
  </si>
  <si>
    <t>Pericles</t>
  </si>
  <si>
    <t>Cafe Au Lait</t>
  </si>
  <si>
    <t>Tempranillo</t>
  </si>
  <si>
    <t>Upstart Lover</t>
  </si>
  <si>
    <t>Ninja</t>
  </si>
  <si>
    <t>Biancelli</t>
  </si>
  <si>
    <t>Berezka</t>
  </si>
  <si>
    <t>Tonneofgrit</t>
  </si>
  <si>
    <t>Stanislaus</t>
  </si>
  <si>
    <t>Bold Comic</t>
  </si>
  <si>
    <t>Irama</t>
  </si>
  <si>
    <t>Just Folk</t>
  </si>
  <si>
    <t>Facundo</t>
  </si>
  <si>
    <t>Thunderlips</t>
  </si>
  <si>
    <t>Lockyer</t>
  </si>
  <si>
    <t>Metaphorically</t>
  </si>
  <si>
    <t>Thebelmontgangster</t>
  </si>
  <si>
    <t>Flying Destiny</t>
  </si>
  <si>
    <t>Epic Proportions</t>
  </si>
  <si>
    <t>Restonica</t>
  </si>
  <si>
    <t>Pocket Full</t>
  </si>
  <si>
    <t>Doradus</t>
  </si>
  <si>
    <t>I Am Carrot</t>
  </si>
  <si>
    <t>Regal Problem</t>
  </si>
  <si>
    <t>Sir Franklin</t>
  </si>
  <si>
    <t>Scintilla</t>
  </si>
  <si>
    <t>Smoke 'N' Darts</t>
  </si>
  <si>
    <t>Stylish</t>
  </si>
  <si>
    <t>Thrice</t>
  </si>
  <si>
    <t>Asgarda</t>
  </si>
  <si>
    <t>Cosmic Avenger</t>
  </si>
  <si>
    <t>Halo Phenomena</t>
  </si>
  <si>
    <t>Love Shuck</t>
  </si>
  <si>
    <t>Arapawa</t>
  </si>
  <si>
    <t>Just In Time</t>
  </si>
  <si>
    <t>Stand My Ground</t>
  </si>
  <si>
    <t>Our Anchorage</t>
  </si>
  <si>
    <t>Ring Bearer</t>
  </si>
  <si>
    <t>Zouthur</t>
  </si>
  <si>
    <t>Geitz</t>
  </si>
  <si>
    <t>Bon Holler</t>
  </si>
  <si>
    <t>Headley Grange</t>
  </si>
  <si>
    <t>Skyhook</t>
  </si>
  <si>
    <t>Fire And Light</t>
  </si>
  <si>
    <t>Campaldino</t>
  </si>
  <si>
    <t>Worthy Enuff</t>
  </si>
  <si>
    <t>Monte Veebee</t>
  </si>
  <si>
    <t>Better Late</t>
  </si>
  <si>
    <t>Bring Me Kash</t>
  </si>
  <si>
    <t>Hell</t>
  </si>
  <si>
    <t>Chief In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</si>
</sst>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quot;#,##0.00_);[Red]\(&quot;$&quot;#,##0.00\)"/>
    <numFmt numFmtId="164" formatCode="_-&quot;$&quot;* #,##0_-;\-&quot;$&quot;* #,##0_-;_-&quot;$&quot;* &quot;-&quot;_-;_-@_-"/>
    <numFmt numFmtId="165" formatCode="d/m/yy;@"/>
    <numFmt numFmtId="166" formatCode="d/mm/yyyy;@"/>
    <numFmt numFmtId="167" formatCode="0.00;[Red]\(0.00\);0.00"/>
    <numFmt numFmtId="168" formatCode="0.00%;[Red]\(0.00%\);0.00%"/>
    <numFmt numFmtId="169" formatCode="[Green][&gt;=10]0.0;[Red][&lt;0]\(0.0\);0.0"/>
    <numFmt numFmtId="170" formatCode="[Green][&gt;=0.1]0.0%;[Red][&lt;0]\(0.0%\);0.0%"/>
    <numFmt numFmtId="171" formatCode="0.0"/>
    <numFmt numFmtId="172" formatCode="0.0;[Red]\(0.0\);0.0"/>
    <numFmt numFmtId="173" formatCode="0.0%;[Red]\(0.0%\);0.0%"/>
    <numFmt numFmtId="174" formatCode="dd/mm/yyyy"/>
    <numFmt numFmtId="175" formatCode="0.0%"/>
    <numFmt numFmtId="176" formatCode="&quot;$&quot;#,##0.00"/>
  </numFmts>
  <fonts count="22" x14ac:knownFonts="1">
    <font>
      <sz val="12"/>
      <color theme="1"/>
      <name val="Aptos Narrow"/>
      <family val="2"/>
      <scheme val="minor"/>
    </font>
    <font>
      <sz val="12"/>
      <color theme="1"/>
      <name val="Aptos Narrow"/>
      <family val="2"/>
      <scheme val="minor"/>
    </font>
    <font>
      <b/>
      <sz val="11"/>
      <name val="Aptos Narrow"/>
      <family val="2"/>
      <scheme val="minor"/>
    </font>
    <font>
      <sz val="11"/>
      <name val="Aptos Narrow"/>
      <family val="2"/>
      <scheme val="minor"/>
    </font>
    <font>
      <b/>
      <sz val="11"/>
      <name val="Calibri"/>
      <family val="2"/>
    </font>
    <font>
      <b/>
      <sz val="11"/>
      <color theme="1"/>
      <name val="Aptos Narrow"/>
      <family val="2"/>
      <scheme val="minor"/>
    </font>
    <font>
      <sz val="12"/>
      <color rgb="FF222222"/>
      <name val="Arial"/>
      <family val="2"/>
    </font>
    <font>
      <sz val="8"/>
      <name val="Aptos Narrow"/>
      <family val="2"/>
      <scheme val="minor"/>
    </font>
    <font>
      <b/>
      <sz val="12"/>
      <color theme="1"/>
      <name val="Aptos Narrow"/>
      <family val="2"/>
      <scheme val="minor"/>
    </font>
    <font>
      <sz val="12"/>
      <color rgb="FF008000"/>
      <name val="Aptos Narrow"/>
      <family val="2"/>
      <scheme val="minor"/>
    </font>
    <font>
      <sz val="12"/>
      <color rgb="FF000000"/>
      <name val="Aptos Narrow"/>
      <family val="2"/>
      <scheme val="minor"/>
    </font>
    <font>
      <b/>
      <sz val="12"/>
      <color rgb="FF008000"/>
      <name val="Aptos Narrow"/>
      <family val="2"/>
      <scheme val="minor"/>
    </font>
    <font>
      <b/>
      <sz val="12"/>
      <color rgb="FF000000"/>
      <name val="Aptos Narrow"/>
      <family val="2"/>
      <scheme val="minor"/>
    </font>
    <font>
      <b/>
      <sz val="12"/>
      <color rgb="FFFFFFFF"/>
      <name val="Aptos Narrow"/>
      <family val="2"/>
      <scheme val="minor"/>
    </font>
    <font>
      <b/>
      <sz val="12"/>
      <color rgb="FFC00000"/>
      <name val="Aptos Narrow"/>
      <family val="2"/>
      <scheme val="minor"/>
    </font>
    <font>
      <sz val="12"/>
      <color rgb="FFC00000"/>
      <name val="Aptos Narrow"/>
      <family val="2"/>
      <scheme val="minor"/>
    </font>
    <font>
      <sz val="12"/>
      <color rgb="FF000000"/>
      <name val="Aptos Narrow"/>
      <scheme val="minor"/>
    </font>
    <font>
      <sz val="12"/>
      <color rgb="FFFF0000"/>
      <name val="Aptos Narrow"/>
      <family val="2"/>
      <scheme val="minor"/>
    </font>
    <font>
      <b/>
      <sz val="12"/>
      <color rgb="FF222222"/>
      <name val="Arial"/>
      <family val="2"/>
    </font>
    <font>
      <sz val="12"/>
      <color theme="1"/>
      <name val="Aptos Narrow"/>
      <scheme val="minor"/>
    </font>
    <font>
      <sz val="11"/>
      <color rgb="FF111111"/>
      <name val="Arial"/>
      <family val="2"/>
    </font>
    <font>
      <sz val="11"/>
      <color rgb="FF222222"/>
      <name val="Arial"/>
      <family val="2"/>
    </font>
  </fonts>
  <fills count="22">
    <fill>
      <patternFill patternType="none"/>
    </fill>
    <fill>
      <patternFill patternType="gray125"/>
    </fill>
    <fill>
      <patternFill patternType="solid">
        <fgColor rgb="FF00B0F0"/>
        <bgColor rgb="FF00CCFF"/>
      </patternFill>
    </fill>
    <fill>
      <patternFill patternType="solid">
        <fgColor rgb="FF00B0F0"/>
        <bgColor indexed="64"/>
      </patternFill>
    </fill>
    <fill>
      <patternFill patternType="solid">
        <fgColor rgb="FF92D050"/>
        <bgColor indexed="64"/>
      </patternFill>
    </fill>
    <fill>
      <patternFill patternType="solid">
        <fgColor rgb="FFFFFF00"/>
        <bgColor rgb="FF00CCFF"/>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2D050"/>
        <bgColor rgb="FF00CCFF"/>
      </patternFill>
    </fill>
    <fill>
      <patternFill patternType="solid">
        <fgColor theme="7" tint="0.79998168889431442"/>
        <bgColor rgb="FF00CCFF"/>
      </patternFill>
    </fill>
    <fill>
      <patternFill patternType="solid">
        <fgColor theme="5" tint="0.39997558519241921"/>
        <bgColor rgb="FF00CCFF"/>
      </patternFill>
    </fill>
    <fill>
      <patternFill patternType="solid">
        <fgColor theme="5" tint="0.59999389629810485"/>
        <bgColor rgb="FF00CCFF"/>
      </patternFill>
    </fill>
    <fill>
      <patternFill patternType="solid">
        <fgColor theme="5" tint="0.79998168889431442"/>
        <bgColor rgb="FF00CCFF"/>
      </patternFill>
    </fill>
    <fill>
      <patternFill patternType="solid">
        <fgColor theme="3" tint="0.749992370372631"/>
        <bgColor indexed="64"/>
      </patternFill>
    </fill>
    <fill>
      <patternFill patternType="solid">
        <fgColor rgb="FF1F4E78"/>
        <bgColor indexed="64"/>
      </patternFill>
    </fill>
    <fill>
      <patternFill patternType="solid">
        <fgColor rgb="FFD9EAF7"/>
        <bgColor indexed="64"/>
      </patternFill>
    </fill>
    <fill>
      <patternFill patternType="solid">
        <fgColor rgb="FFFFFFF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9" fontId="1" fillId="0" borderId="0" applyFont="0" applyFill="0" applyBorder="0" applyAlignment="0" applyProtection="0"/>
  </cellStyleXfs>
  <cellXfs count="114">
    <xf numFmtId="0" fontId="0" fillId="0" borderId="0" xfId="0"/>
    <xf numFmtId="165" fontId="2" fillId="2"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2" fontId="2" fillId="2" borderId="2"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2" fontId="2" fillId="9" borderId="0" xfId="0" applyNumberFormat="1" applyFont="1" applyFill="1" applyAlignment="1">
      <alignment horizontal="center"/>
    </xf>
    <xf numFmtId="2" fontId="2" fillId="0" borderId="0" xfId="0" applyNumberFormat="1" applyFont="1" applyAlignment="1">
      <alignment horizontal="center"/>
    </xf>
    <xf numFmtId="2" fontId="2" fillId="0" borderId="1" xfId="0" applyNumberFormat="1" applyFont="1" applyBorder="1" applyAlignment="1">
      <alignment horizontal="center" vertical="center" wrapText="1"/>
    </xf>
    <xf numFmtId="2" fontId="3" fillId="0" borderId="0" xfId="0" applyNumberFormat="1" applyFont="1" applyAlignment="1">
      <alignment horizontal="right"/>
    </xf>
    <xf numFmtId="0" fontId="3" fillId="0" borderId="0" xfId="0" applyFont="1" applyAlignment="1">
      <alignment horizontal="center"/>
    </xf>
    <xf numFmtId="9" fontId="0" fillId="0" borderId="0" xfId="1" applyFont="1" applyAlignment="1">
      <alignment horizontal="center"/>
    </xf>
    <xf numFmtId="0" fontId="0" fillId="0" borderId="0" xfId="0" applyAlignment="1">
      <alignment horizontal="center"/>
    </xf>
    <xf numFmtId="165" fontId="4" fillId="2" borderId="1" xfId="0" applyNumberFormat="1" applyFont="1" applyFill="1" applyBorder="1" applyAlignment="1">
      <alignment horizontal="center" vertical="center"/>
    </xf>
    <xf numFmtId="166" fontId="4" fillId="2" borderId="1" xfId="0" applyNumberFormat="1" applyFont="1" applyFill="1" applyBorder="1" applyAlignment="1">
      <alignment horizontal="center" vertical="center"/>
    </xf>
    <xf numFmtId="166" fontId="4" fillId="2" borderId="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0" fontId="4" fillId="2" borderId="1" xfId="0" applyFont="1" applyFill="1" applyBorder="1" applyAlignment="1">
      <alignment horizontal="center" vertical="center"/>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2" fontId="2" fillId="3" borderId="6" xfId="0" applyNumberFormat="1" applyFont="1" applyFill="1" applyBorder="1" applyAlignment="1">
      <alignment horizontal="center" vertical="center"/>
    </xf>
    <xf numFmtId="2" fontId="2" fillId="10" borderId="1" xfId="0" applyNumberFormat="1" applyFont="1" applyFill="1" applyBorder="1" applyAlignment="1">
      <alignment horizontal="center" vertical="center" wrapText="1"/>
    </xf>
    <xf numFmtId="2" fontId="2" fillId="10" borderId="1" xfId="0" applyNumberFormat="1" applyFont="1" applyFill="1" applyBorder="1" applyAlignment="1">
      <alignment horizontal="center" vertical="center"/>
    </xf>
    <xf numFmtId="0" fontId="2" fillId="10" borderId="1" xfId="0" applyFont="1" applyFill="1" applyBorder="1" applyAlignment="1">
      <alignment horizontal="center" vertical="center" wrapText="1"/>
    </xf>
    <xf numFmtId="0" fontId="2" fillId="10" borderId="1" xfId="0" applyFont="1" applyFill="1" applyBorder="1" applyAlignment="1">
      <alignment horizontal="center" vertical="center"/>
    </xf>
    <xf numFmtId="2" fontId="2" fillId="11" borderId="7" xfId="0" applyNumberFormat="1" applyFont="1" applyFill="1" applyBorder="1" applyAlignment="1">
      <alignment horizontal="center" vertical="center" wrapText="1"/>
    </xf>
    <xf numFmtId="2" fontId="2" fillId="12" borderId="1" xfId="0" applyNumberFormat="1" applyFont="1" applyFill="1" applyBorder="1" applyAlignment="1">
      <alignment horizontal="center" vertical="center" wrapText="1"/>
    </xf>
    <xf numFmtId="2" fontId="2" fillId="12" borderId="6" xfId="0" applyNumberFormat="1" applyFont="1" applyFill="1" applyBorder="1" applyAlignment="1">
      <alignment horizontal="center" vertical="center" wrapText="1"/>
    </xf>
    <xf numFmtId="2" fontId="2" fillId="13" borderId="6" xfId="0" applyNumberFormat="1" applyFont="1" applyFill="1" applyBorder="1" applyAlignment="1">
      <alignment horizontal="center" vertical="center" wrapText="1"/>
    </xf>
    <xf numFmtId="2" fontId="2" fillId="14" borderId="6" xfId="0" applyNumberFormat="1" applyFont="1" applyFill="1" applyBorder="1" applyAlignment="1">
      <alignment horizontal="center" vertical="center" wrapText="1"/>
    </xf>
    <xf numFmtId="2" fontId="2" fillId="14" borderId="7" xfId="0" applyNumberFormat="1" applyFont="1" applyFill="1" applyBorder="1" applyAlignment="1">
      <alignment horizontal="center" vertical="center" wrapText="1"/>
    </xf>
    <xf numFmtId="2" fontId="2" fillId="7" borderId="0" xfId="0" applyNumberFormat="1" applyFont="1" applyFill="1" applyAlignment="1">
      <alignment horizontal="center" vertical="center"/>
    </xf>
    <xf numFmtId="0" fontId="4" fillId="12" borderId="1" xfId="0" applyFont="1" applyFill="1" applyBorder="1" applyAlignment="1">
      <alignment horizontal="center" vertical="center" wrapText="1"/>
    </xf>
    <xf numFmtId="0" fontId="2" fillId="0" borderId="0" xfId="0" applyFont="1" applyAlignment="1">
      <alignment horizontal="center"/>
    </xf>
    <xf numFmtId="0" fontId="5" fillId="0" borderId="0" xfId="0" applyFont="1" applyAlignment="1">
      <alignment horizontal="center"/>
    </xf>
    <xf numFmtId="0" fontId="5" fillId="9" borderId="0" xfId="0" applyFont="1" applyFill="1" applyAlignment="1">
      <alignment horizontal="center" vertical="center" wrapText="1"/>
    </xf>
    <xf numFmtId="2" fontId="0" fillId="0" borderId="0" xfId="0" applyNumberFormat="1" applyAlignment="1">
      <alignment horizontal="center"/>
    </xf>
    <xf numFmtId="2" fontId="1" fillId="0" borderId="7" xfId="0" applyNumberFormat="1" applyFont="1" applyBorder="1" applyAlignment="1">
      <alignment horizontal="center" vertical="center"/>
    </xf>
    <xf numFmtId="10" fontId="1" fillId="0" borderId="7" xfId="1" applyNumberFormat="1" applyBorder="1" applyAlignment="1">
      <alignment horizontal="center" vertical="center"/>
    </xf>
    <xf numFmtId="10" fontId="1" fillId="0" borderId="7" xfId="0" applyNumberFormat="1" applyFont="1" applyBorder="1" applyAlignment="1">
      <alignment horizontal="center" vertical="center"/>
    </xf>
    <xf numFmtId="164" fontId="1" fillId="0" borderId="7" xfId="0" applyNumberFormat="1" applyFont="1" applyBorder="1" applyAlignment="1">
      <alignment horizontal="center" vertical="center"/>
    </xf>
    <xf numFmtId="2" fontId="0" fillId="0" borderId="0" xfId="0" applyNumberFormat="1"/>
    <xf numFmtId="15" fontId="0" fillId="0" borderId="0" xfId="0" applyNumberFormat="1"/>
    <xf numFmtId="0" fontId="6" fillId="0" borderId="0" xfId="0" applyFont="1"/>
    <xf numFmtId="2" fontId="2" fillId="12" borderId="7" xfId="0" applyNumberFormat="1" applyFont="1" applyFill="1" applyBorder="1" applyAlignment="1">
      <alignment horizontal="center" vertical="center" wrapText="1"/>
    </xf>
    <xf numFmtId="9" fontId="5" fillId="9" borderId="0" xfId="1" applyFont="1" applyFill="1" applyAlignment="1">
      <alignment horizontal="center" vertical="center" wrapText="1"/>
    </xf>
    <xf numFmtId="0" fontId="5" fillId="15" borderId="0" xfId="0" applyFont="1" applyFill="1" applyAlignment="1">
      <alignment horizontal="center" vertical="center" wrapText="1"/>
    </xf>
    <xf numFmtId="0" fontId="8" fillId="0" borderId="0" xfId="0" applyFont="1" applyAlignment="1">
      <alignment horizontal="center"/>
    </xf>
    <xf numFmtId="167" fontId="10" fillId="0" borderId="0" xfId="0" applyNumberFormat="1" applyFont="1" applyAlignment="1">
      <alignment horizontal="center"/>
    </xf>
    <xf numFmtId="168" fontId="10" fillId="0" borderId="0" xfId="0" applyNumberFormat="1" applyFont="1" applyAlignment="1">
      <alignment horizontal="center"/>
    </xf>
    <xf numFmtId="49" fontId="13" fillId="16" borderId="0" xfId="0" applyNumberFormat="1" applyFont="1" applyFill="1" applyAlignment="1">
      <alignment horizontal="center"/>
    </xf>
    <xf numFmtId="49" fontId="12" fillId="0" borderId="0" xfId="0" applyNumberFormat="1" applyFont="1" applyAlignment="1">
      <alignment horizontal="center"/>
    </xf>
    <xf numFmtId="49" fontId="10" fillId="0" borderId="0" xfId="0" applyNumberFormat="1" applyFont="1"/>
    <xf numFmtId="49" fontId="10" fillId="0" borderId="0" xfId="0" applyNumberFormat="1" applyFont="1" applyAlignment="1">
      <alignment horizontal="center"/>
    </xf>
    <xf numFmtId="168" fontId="10" fillId="0" borderId="0" xfId="0" applyNumberFormat="1" applyFont="1"/>
    <xf numFmtId="49" fontId="12" fillId="17" borderId="0" xfId="0" applyNumberFormat="1" applyFont="1" applyFill="1" applyAlignment="1">
      <alignment horizontal="center"/>
    </xf>
    <xf numFmtId="49" fontId="12" fillId="0" borderId="0" xfId="0" applyNumberFormat="1" applyFont="1"/>
    <xf numFmtId="169" fontId="16" fillId="0" borderId="0" xfId="0" applyNumberFormat="1" applyFont="1" applyAlignment="1">
      <alignment horizontal="center"/>
    </xf>
    <xf numFmtId="169" fontId="12" fillId="17" borderId="0" xfId="0" applyNumberFormat="1" applyFont="1" applyFill="1" applyAlignment="1">
      <alignment horizontal="center"/>
    </xf>
    <xf numFmtId="170" fontId="16" fillId="0" borderId="0" xfId="0" applyNumberFormat="1" applyFont="1" applyAlignment="1">
      <alignment horizontal="center"/>
    </xf>
    <xf numFmtId="170" fontId="12" fillId="17" borderId="0" xfId="0" applyNumberFormat="1" applyFont="1" applyFill="1" applyAlignment="1">
      <alignment horizontal="center"/>
    </xf>
    <xf numFmtId="171" fontId="12" fillId="0" borderId="0" xfId="0" applyNumberFormat="1" applyFont="1" applyAlignment="1">
      <alignment horizontal="center"/>
    </xf>
    <xf numFmtId="169" fontId="10" fillId="0" borderId="0" xfId="0" applyNumberFormat="1" applyFont="1" applyAlignment="1">
      <alignment horizontal="center"/>
    </xf>
    <xf numFmtId="169" fontId="15" fillId="0" borderId="0" xfId="0" applyNumberFormat="1" applyFont="1" applyAlignment="1">
      <alignment horizontal="center"/>
    </xf>
    <xf numFmtId="169" fontId="9" fillId="0" borderId="0" xfId="0" applyNumberFormat="1" applyFont="1" applyAlignment="1">
      <alignment horizontal="center"/>
    </xf>
    <xf numFmtId="169" fontId="14" fillId="17" borderId="0" xfId="0" applyNumberFormat="1" applyFont="1" applyFill="1" applyAlignment="1">
      <alignment horizontal="center"/>
    </xf>
    <xf numFmtId="169" fontId="11" fillId="17" borderId="0" xfId="0" applyNumberFormat="1" applyFont="1" applyFill="1" applyAlignment="1">
      <alignment horizontal="center"/>
    </xf>
    <xf numFmtId="170" fontId="10" fillId="0" borderId="0" xfId="0" applyNumberFormat="1" applyFont="1" applyAlignment="1">
      <alignment horizontal="center"/>
    </xf>
    <xf numFmtId="170" fontId="15" fillId="0" borderId="0" xfId="0" applyNumberFormat="1" applyFont="1" applyAlignment="1">
      <alignment horizontal="center"/>
    </xf>
    <xf numFmtId="170" fontId="10" fillId="0" borderId="0" xfId="0" applyNumberFormat="1" applyFont="1"/>
    <xf numFmtId="170" fontId="15" fillId="0" borderId="0" xfId="0" applyNumberFormat="1" applyFont="1"/>
    <xf numFmtId="170" fontId="14" fillId="17" borderId="0" xfId="0" applyNumberFormat="1" applyFont="1" applyFill="1" applyAlignment="1">
      <alignment horizontal="center"/>
    </xf>
    <xf numFmtId="170" fontId="14" fillId="17" borderId="0" xfId="0" applyNumberFormat="1" applyFont="1" applyFill="1"/>
    <xf numFmtId="170" fontId="12" fillId="17" borderId="0" xfId="0" applyNumberFormat="1" applyFont="1" applyFill="1"/>
    <xf numFmtId="172" fontId="0" fillId="0" borderId="0" xfId="0" applyNumberFormat="1" applyAlignment="1">
      <alignment horizontal="center"/>
    </xf>
    <xf numFmtId="173" fontId="0" fillId="0" borderId="0" xfId="0" applyNumberFormat="1" applyAlignment="1">
      <alignment horizontal="center"/>
    </xf>
    <xf numFmtId="172" fontId="17" fillId="0" borderId="0" xfId="0" applyNumberFormat="1" applyFont="1" applyAlignment="1">
      <alignment horizontal="center"/>
    </xf>
    <xf numFmtId="173" fontId="17" fillId="0" borderId="0" xfId="0" applyNumberFormat="1" applyFont="1" applyAlignment="1">
      <alignment horizontal="center"/>
    </xf>
    <xf numFmtId="172" fontId="8" fillId="0" borderId="0" xfId="0" applyNumberFormat="1" applyFont="1" applyAlignment="1">
      <alignment horizontal="center"/>
    </xf>
    <xf numFmtId="173" fontId="8" fillId="0" borderId="0" xfId="0" applyNumberFormat="1" applyFont="1" applyAlignment="1">
      <alignment horizontal="center"/>
    </xf>
    <xf numFmtId="173" fontId="10" fillId="0" borderId="0" xfId="0" applyNumberFormat="1" applyFont="1"/>
    <xf numFmtId="174" fontId="16" fillId="18" borderId="0" xfId="0" applyNumberFormat="1" applyFont="1" applyFill="1" applyAlignment="1">
      <alignment horizontal="left"/>
    </xf>
    <xf numFmtId="172" fontId="10" fillId="0" borderId="0" xfId="0" applyNumberFormat="1" applyFont="1" applyAlignment="1">
      <alignment horizontal="center"/>
    </xf>
    <xf numFmtId="173" fontId="10" fillId="0" borderId="0" xfId="0" applyNumberFormat="1" applyFont="1" applyAlignment="1">
      <alignment horizontal="center"/>
    </xf>
    <xf numFmtId="172" fontId="12" fillId="0" borderId="0" xfId="0" applyNumberFormat="1" applyFont="1" applyAlignment="1">
      <alignment horizontal="center"/>
    </xf>
    <xf numFmtId="173" fontId="12" fillId="0" borderId="0" xfId="0" applyNumberFormat="1" applyFont="1" applyAlignment="1">
      <alignment horizontal="center"/>
    </xf>
    <xf numFmtId="0" fontId="18" fillId="0" borderId="0" xfId="0" applyFont="1"/>
    <xf numFmtId="0" fontId="8" fillId="0" borderId="0" xfId="0" applyFont="1"/>
    <xf numFmtId="171" fontId="8" fillId="0" borderId="0" xfId="0" applyNumberFormat="1" applyFont="1" applyAlignment="1">
      <alignment horizontal="center"/>
    </xf>
    <xf numFmtId="175" fontId="8" fillId="0" borderId="0" xfId="1" applyNumberFormat="1" applyFont="1" applyAlignment="1">
      <alignment horizontal="center"/>
    </xf>
    <xf numFmtId="166" fontId="0" fillId="0" borderId="0" xfId="0" applyNumberFormat="1"/>
    <xf numFmtId="0" fontId="0" fillId="19" borderId="0" xfId="0" applyFill="1"/>
    <xf numFmtId="0" fontId="0" fillId="0" borderId="0" xfId="0" applyAlignment="1">
      <alignment horizontal="left"/>
    </xf>
    <xf numFmtId="0" fontId="6" fillId="0" borderId="0" xfId="0" applyFont="1" applyAlignment="1">
      <alignment horizontal="left"/>
    </xf>
    <xf numFmtId="0" fontId="0" fillId="0" borderId="0" xfId="0" applyAlignment="1">
      <alignment horizontal="right"/>
    </xf>
    <xf numFmtId="8" fontId="0" fillId="0" borderId="0" xfId="0" applyNumberFormat="1" applyAlignment="1">
      <alignment horizontal="right"/>
    </xf>
    <xf numFmtId="2" fontId="0" fillId="0" borderId="0" xfId="0" applyNumberFormat="1" applyAlignment="1">
      <alignment horizontal="right"/>
    </xf>
    <xf numFmtId="0" fontId="0" fillId="20" borderId="0" xfId="0" applyFill="1"/>
    <xf numFmtId="0" fontId="0" fillId="21" borderId="0" xfId="0" applyFill="1"/>
    <xf numFmtId="0" fontId="10" fillId="0" borderId="0" xfId="0" applyFont="1" applyAlignment="1">
      <alignment horizontal="center"/>
    </xf>
    <xf numFmtId="0" fontId="0" fillId="3" borderId="0" xfId="0" applyFill="1"/>
    <xf numFmtId="0" fontId="19" fillId="0" borderId="0" xfId="0" applyFont="1" applyAlignment="1">
      <alignment horizontal="center"/>
    </xf>
    <xf numFmtId="2" fontId="20" fillId="0" borderId="0" xfId="0" applyNumberFormat="1" applyFont="1" applyAlignment="1">
      <alignment horizontal="right" vertical="center"/>
    </xf>
    <xf numFmtId="0" fontId="20" fillId="0" borderId="0" xfId="0" applyFont="1" applyAlignment="1">
      <alignment horizontal="center" vertical="center"/>
    </xf>
    <xf numFmtId="0" fontId="20" fillId="0" borderId="0" xfId="0" applyFont="1" applyAlignment="1">
      <alignment vertical="center"/>
    </xf>
    <xf numFmtId="176" fontId="20" fillId="0" borderId="0" xfId="0" applyNumberFormat="1" applyFont="1" applyAlignment="1">
      <alignment horizontal="right" vertical="center"/>
    </xf>
    <xf numFmtId="0" fontId="20" fillId="0" borderId="0" xfId="0" applyFont="1" applyAlignment="1">
      <alignment horizontal="left" vertical="center"/>
    </xf>
    <xf numFmtId="1" fontId="20" fillId="0" borderId="0" xfId="0" applyNumberFormat="1" applyFont="1" applyAlignment="1">
      <alignment horizontal="left" vertical="center"/>
    </xf>
    <xf numFmtId="0" fontId="21" fillId="0" borderId="0" xfId="0" applyFont="1" applyAlignment="1">
      <alignment vertical="center"/>
    </xf>
    <xf numFmtId="0" fontId="2" fillId="4" borderId="5" xfId="0" applyFont="1" applyFill="1" applyBorder="1" applyAlignment="1">
      <alignment horizontal="center" vertical="center"/>
    </xf>
    <xf numFmtId="0" fontId="3" fillId="6" borderId="5" xfId="0" applyFont="1" applyFill="1" applyBorder="1" applyAlignment="1">
      <alignment horizontal="center" vertical="center"/>
    </xf>
    <xf numFmtId="0" fontId="2" fillId="7" borderId="5" xfId="0" applyFont="1" applyFill="1" applyBorder="1" applyAlignment="1">
      <alignment horizontal="center" vertical="center"/>
    </xf>
    <xf numFmtId="0" fontId="2" fillId="8" borderId="5" xfId="0" applyFont="1" applyFill="1" applyBorder="1" applyAlignment="1">
      <alignment horizontal="center" vertical="center"/>
    </xf>
  </cellXfs>
  <cellStyles count="2">
    <cellStyle name="Normal" xfId="0" builtinId="0"/>
    <cellStyle name="Percent" xfId="1" builtinId="5"/>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12</xdr:col>
      <xdr:colOff>12700</xdr:colOff>
      <xdr:row>1</xdr:row>
      <xdr:rowOff>0</xdr:rowOff>
    </xdr:to>
    <xdr:pic>
      <xdr:nvPicPr>
        <xdr:cNvPr id="2" name="Picture 1">
          <a:extLst>
            <a:ext uri="{FF2B5EF4-FFF2-40B4-BE49-F238E27FC236}">
              <a16:creationId xmlns:a16="http://schemas.microsoft.com/office/drawing/2014/main" id="{7218E214-2AF0-680F-BF5F-019CD56B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0500" y="124968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438150</xdr:colOff>
      <xdr:row>42</xdr:row>
      <xdr:rowOff>0</xdr:rowOff>
    </xdr:from>
    <xdr:to>
      <xdr:col>31</xdr:col>
      <xdr:colOff>419108</xdr:colOff>
      <xdr:row>57</xdr:row>
      <xdr:rowOff>57150</xdr:rowOff>
    </xdr:to>
    <xdr:pic>
      <xdr:nvPicPr>
        <xdr:cNvPr id="3" name="Picture 2">
          <a:extLst>
            <a:ext uri="{FF2B5EF4-FFF2-40B4-BE49-F238E27FC236}">
              <a16:creationId xmlns:a16="http://schemas.microsoft.com/office/drawing/2014/main" id="{701FE6A3-58AA-E6EA-F8D2-3FF35656BC44}"/>
            </a:ext>
          </a:extLst>
        </xdr:cNvPr>
        <xdr:cNvPicPr>
          <a:picLocks noChangeAspect="1"/>
        </xdr:cNvPicPr>
      </xdr:nvPicPr>
      <xdr:blipFill>
        <a:blip xmlns:r="http://schemas.openxmlformats.org/officeDocument/2006/relationships" r:embed="rId1"/>
        <a:stretch>
          <a:fillRect/>
        </a:stretch>
      </xdr:blipFill>
      <xdr:spPr>
        <a:xfrm>
          <a:off x="9105900" y="8401050"/>
          <a:ext cx="10944233" cy="3057525"/>
        </a:xfrm>
        <a:prstGeom prst="rect">
          <a:avLst/>
        </a:prstGeom>
      </xdr:spPr>
    </xdr:pic>
    <xdr:clientData/>
  </xdr:twoCellAnchor>
  <xdr:twoCellAnchor editAs="oneCell">
    <xdr:from>
      <xdr:col>0</xdr:col>
      <xdr:colOff>0</xdr:colOff>
      <xdr:row>42</xdr:row>
      <xdr:rowOff>0</xdr:rowOff>
    </xdr:from>
    <xdr:to>
      <xdr:col>13</xdr:col>
      <xdr:colOff>401226</xdr:colOff>
      <xdr:row>57</xdr:row>
      <xdr:rowOff>28575</xdr:rowOff>
    </xdr:to>
    <xdr:pic>
      <xdr:nvPicPr>
        <xdr:cNvPr id="4" name="Picture 3">
          <a:extLst>
            <a:ext uri="{FF2B5EF4-FFF2-40B4-BE49-F238E27FC236}">
              <a16:creationId xmlns:a16="http://schemas.microsoft.com/office/drawing/2014/main" id="{89AD69B3-B818-95FE-2023-A80F81C49255}"/>
            </a:ext>
          </a:extLst>
        </xdr:cNvPr>
        <xdr:cNvPicPr>
          <a:picLocks noChangeAspect="1"/>
        </xdr:cNvPicPr>
      </xdr:nvPicPr>
      <xdr:blipFill>
        <a:blip xmlns:r="http://schemas.openxmlformats.org/officeDocument/2006/relationships" r:embed="rId2"/>
        <a:stretch>
          <a:fillRect/>
        </a:stretch>
      </xdr:blipFill>
      <xdr:spPr>
        <a:xfrm>
          <a:off x="0" y="8401050"/>
          <a:ext cx="9068976" cy="3028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87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52692B-1C6F-4C0C-90B7-1B9225C14415}">
  <we:reference id="wa200010215" version="2.0.0.0" store="en-US" storeType="OMEX"/>
  <we:alternateReferences>
    <we:reference id="wa200010215" version="2.0.0.0" store="" storeType="OMEX"/>
  </we:alternateReferences>
  <we:properties>
    <we:property name="bps.codex_control.document_id" value="&quot;0f056dce-aa41-41d7-ac25-af1e51acbaf5&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A5929-2FC2-3F48-A432-ECC600EB3E2C}">
  <dimension ref="A1:BH330"/>
  <sheetViews>
    <sheetView tabSelected="1" zoomScaleNormal="100" workbookViewId="0">
      <pane xSplit="13" ySplit="2" topLeftCell="N299" activePane="bottomRight" state="frozen"/>
      <selection pane="topRight" activeCell="N1" sqref="N1"/>
      <selection pane="bottomLeft" activeCell="A3" sqref="A3"/>
      <selection pane="bottomRight" activeCell="AT317" sqref="AT317"/>
    </sheetView>
  </sheetViews>
  <sheetFormatPr baseColWidth="10" defaultColWidth="10.83203125" defaultRowHeight="16" x14ac:dyDescent="0.2"/>
  <cols>
    <col min="2" max="2" width="0" hidden="1" customWidth="1"/>
    <col min="3" max="3" width="10.83203125" style="42"/>
    <col min="5" max="5" width="10.83203125" customWidth="1"/>
    <col min="6" max="7" width="10.83203125" hidden="1" customWidth="1"/>
    <col min="8" max="8" width="13.5" customWidth="1"/>
    <col min="9" max="10" width="7.5" customWidth="1"/>
    <col min="11" max="11" width="23.83203125" customWidth="1"/>
    <col min="16" max="16" width="0" hidden="1" customWidth="1"/>
    <col min="28" max="45" width="0" hidden="1" customWidth="1"/>
    <col min="50" max="51" width="0" hidden="1" customWidth="1"/>
  </cols>
  <sheetData>
    <row r="1" spans="1:60" x14ac:dyDescent="0.2">
      <c r="A1" s="1"/>
      <c r="B1" s="2"/>
      <c r="C1" s="3"/>
      <c r="D1" s="2"/>
      <c r="E1" s="4"/>
      <c r="F1" s="2"/>
      <c r="G1" s="2"/>
      <c r="H1" s="2"/>
      <c r="I1" s="2"/>
      <c r="J1" s="2"/>
      <c r="K1" s="2"/>
      <c r="L1" s="2"/>
      <c r="M1" s="2"/>
      <c r="N1" s="5"/>
      <c r="O1" s="2"/>
      <c r="P1" s="2"/>
      <c r="Q1" s="2"/>
      <c r="R1" s="2"/>
      <c r="S1" s="2"/>
      <c r="T1" s="110" t="s">
        <v>0</v>
      </c>
      <c r="U1" s="110"/>
      <c r="V1" s="110"/>
      <c r="W1" s="110"/>
      <c r="X1" s="110"/>
      <c r="Y1" s="110"/>
      <c r="Z1" s="110"/>
      <c r="AA1" s="6"/>
      <c r="AB1" s="111" t="s">
        <v>1</v>
      </c>
      <c r="AC1" s="111"/>
      <c r="AD1" s="112" t="s">
        <v>2</v>
      </c>
      <c r="AE1" s="112"/>
      <c r="AF1" s="112"/>
      <c r="AG1" s="112"/>
      <c r="AH1" s="112"/>
      <c r="AI1" s="112"/>
      <c r="AJ1" s="112"/>
      <c r="AK1" s="113" t="s">
        <v>3</v>
      </c>
      <c r="AL1" s="113"/>
      <c r="AM1" s="113"/>
      <c r="AN1" s="113"/>
      <c r="AO1" s="7"/>
      <c r="AP1" s="7"/>
      <c r="AQ1" s="7"/>
      <c r="AR1" s="7"/>
      <c r="AS1" s="7" t="s">
        <v>4</v>
      </c>
      <c r="AT1" s="8"/>
      <c r="AU1" s="9"/>
      <c r="AV1" s="10"/>
      <c r="AW1" s="10"/>
      <c r="AX1" s="11"/>
      <c r="BA1" s="12"/>
      <c r="BB1" s="13"/>
      <c r="BC1" s="13"/>
      <c r="BD1" s="13"/>
      <c r="BE1" s="13"/>
    </row>
    <row r="2" spans="1:60" ht="80" x14ac:dyDescent="0.2">
      <c r="A2" s="14" t="s">
        <v>5</v>
      </c>
      <c r="B2" s="15" t="s">
        <v>6</v>
      </c>
      <c r="C2" s="16" t="s">
        <v>7</v>
      </c>
      <c r="D2" s="15" t="s">
        <v>8</v>
      </c>
      <c r="E2" s="17" t="s">
        <v>103</v>
      </c>
      <c r="F2" s="18" t="s">
        <v>9</v>
      </c>
      <c r="G2" s="18" t="s">
        <v>10</v>
      </c>
      <c r="H2" s="18" t="s">
        <v>11</v>
      </c>
      <c r="I2" s="18" t="s">
        <v>12</v>
      </c>
      <c r="J2" s="18" t="s">
        <v>13</v>
      </c>
      <c r="K2" s="18" t="s">
        <v>14</v>
      </c>
      <c r="L2" s="19" t="s">
        <v>15</v>
      </c>
      <c r="M2" s="20" t="s">
        <v>16</v>
      </c>
      <c r="N2" s="21" t="s">
        <v>17</v>
      </c>
      <c r="O2" s="20" t="s">
        <v>18</v>
      </c>
      <c r="P2" s="20"/>
      <c r="Q2" s="20" t="s">
        <v>18</v>
      </c>
      <c r="R2" s="2" t="s">
        <v>19</v>
      </c>
      <c r="S2" s="2" t="s">
        <v>20</v>
      </c>
      <c r="T2" s="22" t="s">
        <v>21</v>
      </c>
      <c r="U2" s="23" t="s">
        <v>22</v>
      </c>
      <c r="V2" s="24" t="s">
        <v>23</v>
      </c>
      <c r="W2" s="24" t="s">
        <v>24</v>
      </c>
      <c r="X2" s="25" t="s">
        <v>25</v>
      </c>
      <c r="Y2" s="25" t="s">
        <v>26</v>
      </c>
      <c r="Z2" s="24" t="s">
        <v>27</v>
      </c>
      <c r="AA2" s="6" t="s">
        <v>28</v>
      </c>
      <c r="AB2" s="26" t="s">
        <v>29</v>
      </c>
      <c r="AC2" s="26" t="s">
        <v>30</v>
      </c>
      <c r="AD2" s="27" t="s">
        <v>31</v>
      </c>
      <c r="AE2" s="27" t="s">
        <v>32</v>
      </c>
      <c r="AF2" s="27" t="s">
        <v>33</v>
      </c>
      <c r="AG2" s="27" t="s">
        <v>34</v>
      </c>
      <c r="AH2" s="28" t="s">
        <v>35</v>
      </c>
      <c r="AI2" s="28" t="s">
        <v>36</v>
      </c>
      <c r="AJ2" s="28" t="s">
        <v>37</v>
      </c>
      <c r="AK2" s="29" t="s">
        <v>38</v>
      </c>
      <c r="AL2" s="29" t="s">
        <v>39</v>
      </c>
      <c r="AM2" s="29" t="s">
        <v>40</v>
      </c>
      <c r="AN2" s="29" t="s">
        <v>20</v>
      </c>
      <c r="AO2" s="30" t="s">
        <v>41</v>
      </c>
      <c r="AP2" s="30" t="s">
        <v>42</v>
      </c>
      <c r="AQ2" s="31" t="s">
        <v>43</v>
      </c>
      <c r="AR2" s="7" t="s">
        <v>44</v>
      </c>
      <c r="AS2" s="7" t="s">
        <v>45</v>
      </c>
      <c r="AT2" s="32" t="s">
        <v>46</v>
      </c>
      <c r="AU2" s="33" t="s">
        <v>47</v>
      </c>
      <c r="AV2" s="27" t="s">
        <v>48</v>
      </c>
      <c r="AW2" s="27" t="s">
        <v>49</v>
      </c>
      <c r="AX2" s="34" t="s">
        <v>50</v>
      </c>
      <c r="AY2" s="35" t="s">
        <v>51</v>
      </c>
      <c r="AZ2" s="36" t="s">
        <v>52</v>
      </c>
      <c r="BA2" s="46" t="s">
        <v>53</v>
      </c>
      <c r="BB2" s="47" t="s">
        <v>54</v>
      </c>
      <c r="BC2" s="47" t="s">
        <v>55</v>
      </c>
      <c r="BD2" s="47" t="s">
        <v>56</v>
      </c>
      <c r="BE2" s="47" t="s">
        <v>48</v>
      </c>
      <c r="BF2" s="45" t="s">
        <v>65</v>
      </c>
      <c r="BG2" s="45" t="s">
        <v>66</v>
      </c>
      <c r="BH2" s="45" t="s">
        <v>67</v>
      </c>
    </row>
    <row r="3" spans="1:60" x14ac:dyDescent="0.2">
      <c r="A3" s="91">
        <v>46267</v>
      </c>
      <c r="C3" s="37">
        <v>11.09</v>
      </c>
      <c r="D3" s="13" t="s">
        <v>133</v>
      </c>
      <c r="E3" s="13" t="s">
        <v>134</v>
      </c>
      <c r="H3" t="s">
        <v>135</v>
      </c>
      <c r="I3" s="13">
        <v>2</v>
      </c>
      <c r="J3" s="13">
        <v>2</v>
      </c>
      <c r="K3" t="s">
        <v>105</v>
      </c>
      <c r="L3" s="37">
        <v>0.5</v>
      </c>
      <c r="M3" s="37">
        <v>11.5</v>
      </c>
      <c r="N3" s="37">
        <v>11.5</v>
      </c>
      <c r="O3" s="37" t="s">
        <v>17</v>
      </c>
      <c r="P3" s="13"/>
      <c r="Q3" s="13" t="s">
        <v>4</v>
      </c>
      <c r="R3" s="37">
        <v>10.66</v>
      </c>
      <c r="S3" s="13" t="s">
        <v>136</v>
      </c>
      <c r="T3" s="38" t="str">
        <f>IF(($AA3="W"),ROUND(($L3*$R3),2),"0.00")</f>
        <v>0.00</v>
      </c>
      <c r="U3" s="38">
        <f>BE3</f>
        <v>-0.5</v>
      </c>
      <c r="V3" s="38">
        <f>U3</f>
        <v>-0.5</v>
      </c>
      <c r="W3" s="38">
        <f>L3</f>
        <v>0.5</v>
      </c>
      <c r="X3" s="39">
        <f>SUM(V3/W3)</f>
        <v>-1</v>
      </c>
      <c r="Y3" s="40">
        <f>V3/100</f>
        <v>-5.0000000000000001E-3</v>
      </c>
      <c r="Z3" s="41">
        <f>V3*100</f>
        <v>-50</v>
      </c>
      <c r="AA3" s="13" t="s">
        <v>57</v>
      </c>
      <c r="AB3" s="13"/>
      <c r="AC3" s="13"/>
      <c r="AD3" s="13"/>
      <c r="AE3" s="13"/>
      <c r="AF3" s="13"/>
      <c r="AG3" s="13"/>
      <c r="AH3" s="13"/>
      <c r="AI3" s="13"/>
      <c r="AJ3" s="13"/>
      <c r="AK3" s="13"/>
      <c r="AL3" s="13"/>
      <c r="AM3" s="13"/>
      <c r="AN3" s="13"/>
      <c r="AO3" s="13"/>
      <c r="AP3" s="13"/>
      <c r="AQ3" s="13"/>
      <c r="AR3" s="13"/>
      <c r="AS3" s="13"/>
      <c r="AT3" s="37">
        <v>2.0499999999999998</v>
      </c>
      <c r="AU3" s="37">
        <v>2.0499999999999998</v>
      </c>
      <c r="AV3" s="10">
        <f>((N3*(L3))-(L3))</f>
        <v>5.25</v>
      </c>
      <c r="AW3" s="10">
        <f>0.92*(N3-1)+1</f>
        <v>10.66</v>
      </c>
      <c r="AZ3" t="str">
        <f>IF(N3&gt;=M3,"Yes","No")</f>
        <v>Yes</v>
      </c>
      <c r="BB3" s="37">
        <f>IF(AA3="W",
   L3*(N3-1),
   -L3
)</f>
        <v>-0.5</v>
      </c>
      <c r="BC3" s="37">
        <f t="shared" ref="BC3:BC34" si="0">SUMIFS(
  $BB:$BB,
  $A:$A,$A3,
  $H:$H,$H3,
  $I:$I,$I3
)</f>
        <v>-1.5</v>
      </c>
      <c r="BD3" s="37">
        <f>IF(BC3&gt;0, BC3*0.92, BC3)</f>
        <v>-1.5</v>
      </c>
      <c r="BE3" s="37">
        <f>IF(
  BC3&gt;0,
  IF(
    AA3="W",
    BB3 - (BC3 - BD3),
    BB3
  ),
  BB3
)</f>
        <v>-0.5</v>
      </c>
      <c r="BF3" s="13" cm="1">
        <f t="array" ref="BF3">SUMPRODUCT((1/COUNTIFS($A$3:$A3,$A$3:$A3,$H$3:$H3,$H$3:$H3,$I$3:$I3,$I$3:$I3)))</f>
        <v>1</v>
      </c>
      <c r="BG3" s="13">
        <v>0</v>
      </c>
      <c r="BH3" s="12">
        <f>BG3/BF3</f>
        <v>0</v>
      </c>
    </row>
    <row r="4" spans="1:60" x14ac:dyDescent="0.2">
      <c r="A4" s="91">
        <v>46267</v>
      </c>
      <c r="C4" s="37">
        <v>11.09</v>
      </c>
      <c r="D4" s="13" t="s">
        <v>133</v>
      </c>
      <c r="E4" s="13" t="s">
        <v>134</v>
      </c>
      <c r="H4" t="s">
        <v>135</v>
      </c>
      <c r="I4" s="13">
        <v>2</v>
      </c>
      <c r="J4" s="13">
        <v>10</v>
      </c>
      <c r="K4" s="92" t="s">
        <v>106</v>
      </c>
      <c r="L4" s="37">
        <v>0.5</v>
      </c>
      <c r="M4" s="37">
        <v>13</v>
      </c>
      <c r="N4" s="37">
        <v>13</v>
      </c>
      <c r="O4" s="37" t="s">
        <v>17</v>
      </c>
      <c r="P4" s="13"/>
      <c r="Q4" s="13" t="s">
        <v>4</v>
      </c>
      <c r="R4" s="37">
        <v>12.040000000000001</v>
      </c>
      <c r="S4" s="13">
        <v>3</v>
      </c>
      <c r="T4" s="38" t="str">
        <f>IF(($AA4="W"),ROUND(($L4*$R4),2),"0.00")</f>
        <v>0.00</v>
      </c>
      <c r="U4" s="38">
        <f t="shared" ref="U4" si="1">BE4</f>
        <v>-0.5</v>
      </c>
      <c r="V4" s="38">
        <f>V3+U4</f>
        <v>-1</v>
      </c>
      <c r="W4" s="38">
        <f>W3+L4</f>
        <v>1</v>
      </c>
      <c r="X4" s="39">
        <f>SUM(V4/W4)</f>
        <v>-1</v>
      </c>
      <c r="Y4" s="40">
        <f>V4/100</f>
        <v>-0.01</v>
      </c>
      <c r="Z4" s="41">
        <f>V4*100</f>
        <v>-100</v>
      </c>
      <c r="AA4" s="13" t="s">
        <v>57</v>
      </c>
      <c r="AB4" s="13"/>
      <c r="AC4" s="13"/>
      <c r="AD4" s="13"/>
      <c r="AE4" s="13"/>
      <c r="AF4" s="13"/>
      <c r="AG4" s="13"/>
      <c r="AH4" s="13"/>
      <c r="AI4" s="13"/>
      <c r="AJ4" s="13"/>
      <c r="AK4" s="13"/>
      <c r="AL4" s="13"/>
      <c r="AM4" s="13"/>
      <c r="AN4" s="13"/>
      <c r="AO4" s="13"/>
      <c r="AP4" s="13"/>
      <c r="AQ4" s="13"/>
      <c r="AR4" s="13"/>
      <c r="AS4" s="13"/>
      <c r="AT4" s="37">
        <v>6.1</v>
      </c>
      <c r="AU4" s="37">
        <v>5.5</v>
      </c>
      <c r="AV4" s="10">
        <f>((N4*(L4))-(L4))</f>
        <v>6</v>
      </c>
      <c r="AW4" s="10">
        <f>0.92*(N4-1)+1</f>
        <v>12.040000000000001</v>
      </c>
      <c r="AZ4" t="str">
        <f>IF(N4&gt;=M4,"Yes","No")</f>
        <v>Yes</v>
      </c>
      <c r="BB4" s="37">
        <f>IF(AA4="W",
   L4*(N4-1),
   -L4
)</f>
        <v>-0.5</v>
      </c>
      <c r="BC4" s="37">
        <f t="shared" si="0"/>
        <v>-1.5</v>
      </c>
      <c r="BD4" s="37">
        <f t="shared" ref="BD4" si="2">IF(BC4&gt;0, BC4*0.92, BC4)</f>
        <v>-1.5</v>
      </c>
      <c r="BE4" s="37">
        <f t="shared" ref="BE4" si="3">IF(
  BC4&gt;0,
  IF(
    AA4="W",
    BB4 - (BC4 - BD4),
    BB4
  ),
  BB4
)</f>
        <v>-0.5</v>
      </c>
      <c r="BF4" s="13" cm="1">
        <f t="array" ref="BF4">SUMPRODUCT((1/COUNTIFS($A$3:$A4,$A$3:$A4,$H$3:$H4,$H$3:$H4,$I$3:$I4,$I$3:$I4)))</f>
        <v>1</v>
      </c>
      <c r="BG4" s="13">
        <v>0</v>
      </c>
      <c r="BH4" s="12">
        <f t="shared" ref="BH4:BH16" si="4">BG4/BF4</f>
        <v>0</v>
      </c>
    </row>
    <row r="5" spans="1:60" x14ac:dyDescent="0.2">
      <c r="A5" s="91">
        <v>46267</v>
      </c>
      <c r="C5" s="37">
        <v>11.09</v>
      </c>
      <c r="D5" s="13" t="s">
        <v>133</v>
      </c>
      <c r="E5" s="13" t="s">
        <v>134</v>
      </c>
      <c r="H5" t="s">
        <v>135</v>
      </c>
      <c r="I5" s="13">
        <v>2</v>
      </c>
      <c r="J5" s="13">
        <v>16</v>
      </c>
      <c r="K5" t="s">
        <v>108</v>
      </c>
      <c r="L5" s="37">
        <v>0.5</v>
      </c>
      <c r="M5" s="37">
        <v>24</v>
      </c>
      <c r="N5" s="37">
        <v>30.6</v>
      </c>
      <c r="O5" s="37" t="s">
        <v>17</v>
      </c>
      <c r="Q5" s="13" t="s">
        <v>4</v>
      </c>
      <c r="R5" s="37">
        <v>28.232000000000003</v>
      </c>
      <c r="S5" s="13" t="s">
        <v>136</v>
      </c>
      <c r="T5" s="38" t="str">
        <f t="shared" ref="T5:T68" si="5">IF(($AA5="W"),ROUND(($L5*$R5),2),"0.00")</f>
        <v>0.00</v>
      </c>
      <c r="U5" s="38">
        <f t="shared" ref="U5" si="6">BE5</f>
        <v>-0.5</v>
      </c>
      <c r="V5" s="38">
        <f t="shared" ref="V5" si="7">V4+U5</f>
        <v>-1.5</v>
      </c>
      <c r="W5" s="38">
        <f t="shared" ref="W5" si="8">W4+L5</f>
        <v>1.5</v>
      </c>
      <c r="X5" s="39">
        <f t="shared" ref="X5" si="9">SUM(V5/W5)</f>
        <v>-1</v>
      </c>
      <c r="Y5" s="40">
        <f t="shared" ref="Y5" si="10">V5/100</f>
        <v>-1.4999999999999999E-2</v>
      </c>
      <c r="Z5" s="41">
        <f t="shared" ref="Z5" si="11">V5*100</f>
        <v>-150</v>
      </c>
      <c r="AA5" s="13" t="s">
        <v>57</v>
      </c>
      <c r="AT5" s="37">
        <v>15.4</v>
      </c>
      <c r="AU5" s="37">
        <v>11</v>
      </c>
      <c r="AV5" s="10">
        <f t="shared" ref="AV5:AV68" si="12">((N5*(L5))-(L5))</f>
        <v>14.8</v>
      </c>
      <c r="AW5" s="10">
        <f t="shared" ref="AW5:AW16" si="13">0.92*(N5-1)+1</f>
        <v>28.232000000000003</v>
      </c>
      <c r="AZ5" t="str">
        <f t="shared" ref="AZ5:AZ16" si="14">IF(N5&gt;=M5,"Yes","No")</f>
        <v>Yes</v>
      </c>
      <c r="BB5" s="37">
        <f t="shared" ref="BB5:BB16" si="15">IF(AA5="W",
   L5*(N5-1),
   -L5
)</f>
        <v>-0.5</v>
      </c>
      <c r="BC5" s="37">
        <f t="shared" si="0"/>
        <v>-1.5</v>
      </c>
      <c r="BD5" s="37">
        <f t="shared" ref="BD5:BD16" si="16">IF(BC5&gt;0, BC5*0.92, BC5)</f>
        <v>-1.5</v>
      </c>
      <c r="BE5" s="37">
        <f t="shared" ref="BE5:BE16" si="17">IF(
  BC5&gt;0,
  IF(
    AA5="W",
    BB5 - (BC5 - BD5),
    BB5
  ),
  BB5
)</f>
        <v>-0.5</v>
      </c>
      <c r="BF5" s="13" cm="1">
        <f t="array" ref="BF5">SUMPRODUCT((1/COUNTIFS($A$3:$A5,$A$3:$A5,$H$3:$H5,$H$3:$H5,$I$3:$I5,$I$3:$I5)))</f>
        <v>1</v>
      </c>
      <c r="BG5" s="13">
        <v>0</v>
      </c>
      <c r="BH5" s="12">
        <f t="shared" si="4"/>
        <v>0</v>
      </c>
    </row>
    <row r="6" spans="1:60" x14ac:dyDescent="0.2">
      <c r="A6" s="91">
        <v>46267</v>
      </c>
      <c r="C6" s="37">
        <v>11.09</v>
      </c>
      <c r="D6" s="13" t="s">
        <v>133</v>
      </c>
      <c r="E6" s="13" t="s">
        <v>134</v>
      </c>
      <c r="H6" t="s">
        <v>135</v>
      </c>
      <c r="I6" s="13">
        <v>3</v>
      </c>
      <c r="J6" s="13">
        <v>6</v>
      </c>
      <c r="K6" t="s">
        <v>111</v>
      </c>
      <c r="L6" s="37">
        <v>0.5</v>
      </c>
      <c r="M6" s="37">
        <v>19.5</v>
      </c>
      <c r="N6" s="37">
        <v>39</v>
      </c>
      <c r="O6" s="37" t="s">
        <v>17</v>
      </c>
      <c r="Q6" s="13" t="s">
        <v>4</v>
      </c>
      <c r="R6" s="37">
        <v>35.96</v>
      </c>
      <c r="S6" s="13" t="s">
        <v>136</v>
      </c>
      <c r="T6" s="38" t="str">
        <f t="shared" si="5"/>
        <v>0.00</v>
      </c>
      <c r="U6" s="38">
        <f t="shared" ref="U6:U69" si="18">BE6</f>
        <v>-0.5</v>
      </c>
      <c r="V6" s="38">
        <f t="shared" ref="V6:V69" si="19">V5+U6</f>
        <v>-2</v>
      </c>
      <c r="W6" s="38">
        <f t="shared" ref="W6:W69" si="20">W5+L6</f>
        <v>2</v>
      </c>
      <c r="X6" s="39">
        <f t="shared" ref="X6:X69" si="21">SUM(V6/W6)</f>
        <v>-1</v>
      </c>
      <c r="Y6" s="40">
        <f t="shared" ref="Y6:Y69" si="22">V6/100</f>
        <v>-0.02</v>
      </c>
      <c r="Z6" s="41">
        <f t="shared" ref="Z6:Z69" si="23">V6*100</f>
        <v>-200</v>
      </c>
      <c r="AA6" s="13" t="s">
        <v>57</v>
      </c>
      <c r="AT6" s="37">
        <v>34.799999999999997</v>
      </c>
      <c r="AU6" s="37">
        <v>26</v>
      </c>
      <c r="AV6" s="10">
        <f t="shared" si="12"/>
        <v>19</v>
      </c>
      <c r="AW6" s="10">
        <f t="shared" si="13"/>
        <v>35.96</v>
      </c>
      <c r="AZ6" t="str">
        <f t="shared" si="14"/>
        <v>Yes</v>
      </c>
      <c r="BB6" s="37">
        <f t="shared" si="15"/>
        <v>-0.5</v>
      </c>
      <c r="BC6" s="37">
        <f t="shared" si="0"/>
        <v>-1</v>
      </c>
      <c r="BD6" s="37">
        <f t="shared" si="16"/>
        <v>-1</v>
      </c>
      <c r="BE6" s="37">
        <f t="shared" si="17"/>
        <v>-0.5</v>
      </c>
      <c r="BF6" s="13" cm="1">
        <f t="array" ref="BF6">SUMPRODUCT((1/COUNTIFS($A$3:$A6,$A$3:$A6,$H$3:$H6,$H$3:$H6,$I$3:$I6,$I$3:$I6)))</f>
        <v>2</v>
      </c>
      <c r="BG6" s="13">
        <v>0</v>
      </c>
      <c r="BH6" s="12">
        <f t="shared" si="4"/>
        <v>0</v>
      </c>
    </row>
    <row r="7" spans="1:60" x14ac:dyDescent="0.2">
      <c r="A7" s="91">
        <v>46267</v>
      </c>
      <c r="C7" s="37">
        <v>11.09</v>
      </c>
      <c r="D7" s="13" t="s">
        <v>133</v>
      </c>
      <c r="E7" s="13" t="s">
        <v>134</v>
      </c>
      <c r="H7" t="s">
        <v>135</v>
      </c>
      <c r="I7" s="13">
        <v>3</v>
      </c>
      <c r="J7" s="13">
        <v>7</v>
      </c>
      <c r="K7" t="s">
        <v>112</v>
      </c>
      <c r="L7" s="37">
        <v>0.5</v>
      </c>
      <c r="M7" s="37">
        <v>9.1999999999999993</v>
      </c>
      <c r="N7" s="37">
        <v>9.9499999999999993</v>
      </c>
      <c r="O7" s="37" t="s">
        <v>17</v>
      </c>
      <c r="Q7" s="13" t="s">
        <v>4</v>
      </c>
      <c r="R7" s="37">
        <v>9.234</v>
      </c>
      <c r="S7" s="13" t="s">
        <v>136</v>
      </c>
      <c r="T7" s="38" t="str">
        <f t="shared" si="5"/>
        <v>0.00</v>
      </c>
      <c r="U7" s="38">
        <f t="shared" si="18"/>
        <v>-0.5</v>
      </c>
      <c r="V7" s="38">
        <f t="shared" si="19"/>
        <v>-2.5</v>
      </c>
      <c r="W7" s="38">
        <f t="shared" si="20"/>
        <v>2.5</v>
      </c>
      <c r="X7" s="39">
        <f t="shared" si="21"/>
        <v>-1</v>
      </c>
      <c r="Y7" s="40">
        <f t="shared" si="22"/>
        <v>-2.5000000000000001E-2</v>
      </c>
      <c r="Z7" s="41">
        <f t="shared" si="23"/>
        <v>-250</v>
      </c>
      <c r="AA7" s="13" t="s">
        <v>57</v>
      </c>
      <c r="AT7" s="37">
        <v>9.9</v>
      </c>
      <c r="AU7" s="37">
        <v>8.5</v>
      </c>
      <c r="AV7" s="10">
        <f t="shared" si="12"/>
        <v>4.4749999999999996</v>
      </c>
      <c r="AW7" s="10">
        <f t="shared" si="13"/>
        <v>9.234</v>
      </c>
      <c r="AZ7" t="str">
        <f t="shared" si="14"/>
        <v>Yes</v>
      </c>
      <c r="BB7" s="37">
        <f t="shared" si="15"/>
        <v>-0.5</v>
      </c>
      <c r="BC7" s="37">
        <f t="shared" si="0"/>
        <v>-1</v>
      </c>
      <c r="BD7" s="37">
        <f t="shared" si="16"/>
        <v>-1</v>
      </c>
      <c r="BE7" s="37">
        <f t="shared" si="17"/>
        <v>-0.5</v>
      </c>
      <c r="BF7" s="13" cm="1">
        <f t="array" ref="BF7">SUMPRODUCT((1/COUNTIFS($A$3:$A7,$A$3:$A7,$H$3:$H7,$H$3:$H7,$I$3:$I7,$I$3:$I7)))</f>
        <v>2</v>
      </c>
      <c r="BG7" s="13">
        <v>0</v>
      </c>
      <c r="BH7" s="12">
        <f t="shared" si="4"/>
        <v>0</v>
      </c>
    </row>
    <row r="8" spans="1:60" x14ac:dyDescent="0.2">
      <c r="A8" s="91">
        <v>46267</v>
      </c>
      <c r="C8" s="37">
        <v>11.09</v>
      </c>
      <c r="D8" s="13" t="s">
        <v>133</v>
      </c>
      <c r="E8" s="13" t="s">
        <v>134</v>
      </c>
      <c r="H8" t="s">
        <v>135</v>
      </c>
      <c r="I8" s="13">
        <v>4</v>
      </c>
      <c r="J8" s="13">
        <v>9</v>
      </c>
      <c r="K8" t="s">
        <v>116</v>
      </c>
      <c r="L8" s="37">
        <v>0.5</v>
      </c>
      <c r="M8" s="37">
        <v>10.5</v>
      </c>
      <c r="N8" s="37">
        <v>11</v>
      </c>
      <c r="O8" s="37" t="s">
        <v>17</v>
      </c>
      <c r="Q8" s="13" t="s">
        <v>4</v>
      </c>
      <c r="R8" s="37">
        <v>10.200000000000001</v>
      </c>
      <c r="S8" s="13" t="s">
        <v>136</v>
      </c>
      <c r="T8" s="38" t="str">
        <f t="shared" si="5"/>
        <v>0.00</v>
      </c>
      <c r="U8" s="38">
        <f t="shared" si="18"/>
        <v>-0.5</v>
      </c>
      <c r="V8" s="38">
        <f t="shared" si="19"/>
        <v>-3</v>
      </c>
      <c r="W8" s="38">
        <f t="shared" si="20"/>
        <v>3</v>
      </c>
      <c r="X8" s="39">
        <f t="shared" si="21"/>
        <v>-1</v>
      </c>
      <c r="Y8" s="40">
        <f t="shared" si="22"/>
        <v>-0.03</v>
      </c>
      <c r="Z8" s="41">
        <f t="shared" si="23"/>
        <v>-300</v>
      </c>
      <c r="AA8" s="13" t="s">
        <v>57</v>
      </c>
      <c r="AT8" s="37">
        <v>11.3</v>
      </c>
      <c r="AU8" s="37">
        <v>11</v>
      </c>
      <c r="AV8" s="10">
        <f t="shared" si="12"/>
        <v>5</v>
      </c>
      <c r="AW8" s="10">
        <f t="shared" si="13"/>
        <v>10.200000000000001</v>
      </c>
      <c r="AZ8" t="str">
        <f t="shared" si="14"/>
        <v>Yes</v>
      </c>
      <c r="BB8" s="37">
        <f t="shared" si="15"/>
        <v>-0.5</v>
      </c>
      <c r="BC8" s="37">
        <f t="shared" si="0"/>
        <v>-1</v>
      </c>
      <c r="BD8" s="37">
        <f t="shared" si="16"/>
        <v>-1</v>
      </c>
      <c r="BE8" s="37">
        <f t="shared" si="17"/>
        <v>-0.5</v>
      </c>
      <c r="BF8" s="13" cm="1">
        <f t="array" ref="BF8">SUMPRODUCT((1/COUNTIFS($A$3:$A8,$A$3:$A8,$H$3:$H8,$H$3:$H8,$I$3:$I8,$I$3:$I8)))</f>
        <v>3</v>
      </c>
      <c r="BG8" s="13">
        <v>0</v>
      </c>
      <c r="BH8" s="12">
        <f t="shared" si="4"/>
        <v>0</v>
      </c>
    </row>
    <row r="9" spans="1:60" x14ac:dyDescent="0.2">
      <c r="A9" s="91">
        <v>46267</v>
      </c>
      <c r="C9" s="37">
        <v>11.09</v>
      </c>
      <c r="D9" s="13" t="s">
        <v>133</v>
      </c>
      <c r="E9" s="13" t="s">
        <v>134</v>
      </c>
      <c r="H9" t="s">
        <v>135</v>
      </c>
      <c r="I9" s="13">
        <v>4</v>
      </c>
      <c r="J9" s="13">
        <v>11</v>
      </c>
      <c r="K9" t="s">
        <v>117</v>
      </c>
      <c r="L9" s="37">
        <v>0.5</v>
      </c>
      <c r="M9" s="37">
        <v>9.4</v>
      </c>
      <c r="N9" s="37">
        <v>9.4</v>
      </c>
      <c r="O9" s="37" t="s">
        <v>17</v>
      </c>
      <c r="Q9" s="13" t="s">
        <v>4</v>
      </c>
      <c r="R9" s="37">
        <v>8.7280000000000015</v>
      </c>
      <c r="S9" s="13" t="s">
        <v>136</v>
      </c>
      <c r="T9" s="38" t="str">
        <f t="shared" si="5"/>
        <v>0.00</v>
      </c>
      <c r="U9" s="38">
        <f t="shared" si="18"/>
        <v>-0.5</v>
      </c>
      <c r="V9" s="38">
        <f t="shared" si="19"/>
        <v>-3.5</v>
      </c>
      <c r="W9" s="38">
        <f t="shared" si="20"/>
        <v>3.5</v>
      </c>
      <c r="X9" s="39">
        <f t="shared" si="21"/>
        <v>-1</v>
      </c>
      <c r="Y9" s="40">
        <f t="shared" si="22"/>
        <v>-3.5000000000000003E-2</v>
      </c>
      <c r="Z9" s="41">
        <f t="shared" si="23"/>
        <v>-350</v>
      </c>
      <c r="AA9" s="13" t="s">
        <v>57</v>
      </c>
      <c r="AT9" s="37">
        <v>8.5</v>
      </c>
      <c r="AU9" s="37">
        <v>7.5</v>
      </c>
      <c r="AV9" s="10">
        <f t="shared" si="12"/>
        <v>4.2</v>
      </c>
      <c r="AW9" s="10">
        <f t="shared" si="13"/>
        <v>8.7280000000000015</v>
      </c>
      <c r="AZ9" t="str">
        <f t="shared" si="14"/>
        <v>Yes</v>
      </c>
      <c r="BB9" s="37">
        <f t="shared" si="15"/>
        <v>-0.5</v>
      </c>
      <c r="BC9" s="37">
        <f t="shared" si="0"/>
        <v>-1</v>
      </c>
      <c r="BD9" s="37">
        <f t="shared" si="16"/>
        <v>-1</v>
      </c>
      <c r="BE9" s="37">
        <f t="shared" si="17"/>
        <v>-0.5</v>
      </c>
      <c r="BF9" s="13" cm="1">
        <f t="array" ref="BF9">SUMPRODUCT((1/COUNTIFS($A$3:$A9,$A$3:$A9,$H$3:$H9,$H$3:$H9,$I$3:$I9,$I$3:$I9)))</f>
        <v>3</v>
      </c>
      <c r="BG9" s="13">
        <v>0</v>
      </c>
      <c r="BH9" s="12">
        <f t="shared" si="4"/>
        <v>0</v>
      </c>
    </row>
    <row r="10" spans="1:60" x14ac:dyDescent="0.2">
      <c r="A10" s="91">
        <v>46267</v>
      </c>
      <c r="C10" s="37">
        <v>11.09</v>
      </c>
      <c r="D10" s="13" t="s">
        <v>133</v>
      </c>
      <c r="E10" s="13" t="s">
        <v>134</v>
      </c>
      <c r="H10" t="s">
        <v>135</v>
      </c>
      <c r="I10" s="13">
        <v>5</v>
      </c>
      <c r="J10" s="13">
        <v>1</v>
      </c>
      <c r="K10" t="s">
        <v>118</v>
      </c>
      <c r="L10" s="37">
        <v>0.5</v>
      </c>
      <c r="M10" s="37">
        <v>30</v>
      </c>
      <c r="N10" s="37">
        <v>50.81</v>
      </c>
      <c r="O10" s="37" t="s">
        <v>17</v>
      </c>
      <c r="Q10" s="13" t="s">
        <v>4</v>
      </c>
      <c r="R10" s="37">
        <v>46.825200000000002</v>
      </c>
      <c r="S10" s="13" t="s">
        <v>136</v>
      </c>
      <c r="T10" s="38" t="str">
        <f t="shared" si="5"/>
        <v>0.00</v>
      </c>
      <c r="U10" s="38">
        <f t="shared" si="18"/>
        <v>-0.5</v>
      </c>
      <c r="V10" s="38">
        <f t="shared" si="19"/>
        <v>-4</v>
      </c>
      <c r="W10" s="38">
        <f t="shared" si="20"/>
        <v>4</v>
      </c>
      <c r="X10" s="39">
        <f t="shared" si="21"/>
        <v>-1</v>
      </c>
      <c r="Y10" s="40">
        <f t="shared" si="22"/>
        <v>-0.04</v>
      </c>
      <c r="Z10" s="41">
        <f t="shared" si="23"/>
        <v>-400</v>
      </c>
      <c r="AA10" s="13" t="s">
        <v>57</v>
      </c>
      <c r="AT10" s="37">
        <v>50.5</v>
      </c>
      <c r="AU10" s="37">
        <v>31</v>
      </c>
      <c r="AV10" s="10">
        <f t="shared" si="12"/>
        <v>24.905000000000001</v>
      </c>
      <c r="AW10" s="10">
        <f t="shared" si="13"/>
        <v>46.825200000000002</v>
      </c>
      <c r="AZ10" t="str">
        <f t="shared" si="14"/>
        <v>Yes</v>
      </c>
      <c r="BB10" s="37">
        <f t="shared" si="15"/>
        <v>-0.5</v>
      </c>
      <c r="BC10" s="37">
        <f t="shared" si="0"/>
        <v>-1.5</v>
      </c>
      <c r="BD10" s="37">
        <f t="shared" si="16"/>
        <v>-1.5</v>
      </c>
      <c r="BE10" s="37">
        <f t="shared" si="17"/>
        <v>-0.5</v>
      </c>
      <c r="BF10" s="13" cm="1">
        <f t="array" ref="BF10">SUMPRODUCT((1/COUNTIFS($A$3:$A10,$A$3:$A10,$H$3:$H10,$H$3:$H10,$I$3:$I10,$I$3:$I10)))</f>
        <v>4</v>
      </c>
      <c r="BG10" s="13">
        <v>0</v>
      </c>
      <c r="BH10" s="12">
        <f t="shared" si="4"/>
        <v>0</v>
      </c>
    </row>
    <row r="11" spans="1:60" x14ac:dyDescent="0.2">
      <c r="A11" s="91">
        <v>46267</v>
      </c>
      <c r="C11" s="37">
        <v>11.09</v>
      </c>
      <c r="D11" s="13" t="s">
        <v>133</v>
      </c>
      <c r="E11" s="13" t="s">
        <v>134</v>
      </c>
      <c r="H11" t="s">
        <v>135</v>
      </c>
      <c r="I11" s="13">
        <v>5</v>
      </c>
      <c r="J11" s="13">
        <v>2</v>
      </c>
      <c r="K11" t="s">
        <v>119</v>
      </c>
      <c r="L11" s="37">
        <v>0.5</v>
      </c>
      <c r="M11" s="37">
        <v>26</v>
      </c>
      <c r="N11" s="37">
        <v>26</v>
      </c>
      <c r="O11" s="37" t="s">
        <v>17</v>
      </c>
      <c r="Q11" s="13" t="s">
        <v>4</v>
      </c>
      <c r="R11" s="37">
        <v>24</v>
      </c>
      <c r="S11" s="13" t="s">
        <v>136</v>
      </c>
      <c r="T11" s="38" t="str">
        <f t="shared" si="5"/>
        <v>0.00</v>
      </c>
      <c r="U11" s="38">
        <f t="shared" si="18"/>
        <v>-0.5</v>
      </c>
      <c r="V11" s="38">
        <f t="shared" si="19"/>
        <v>-4.5</v>
      </c>
      <c r="W11" s="38">
        <f t="shared" si="20"/>
        <v>4.5</v>
      </c>
      <c r="X11" s="39">
        <f t="shared" si="21"/>
        <v>-1</v>
      </c>
      <c r="Y11" s="40">
        <f t="shared" si="22"/>
        <v>-4.4999999999999998E-2</v>
      </c>
      <c r="Z11" s="41">
        <f t="shared" si="23"/>
        <v>-450</v>
      </c>
      <c r="AA11" s="13" t="s">
        <v>57</v>
      </c>
      <c r="AT11" s="37">
        <v>36.700000000000003</v>
      </c>
      <c r="AU11" s="37">
        <v>31</v>
      </c>
      <c r="AV11" s="10">
        <f t="shared" si="12"/>
        <v>12.5</v>
      </c>
      <c r="AW11" s="10">
        <f t="shared" si="13"/>
        <v>24</v>
      </c>
      <c r="AZ11" t="str">
        <f t="shared" si="14"/>
        <v>Yes</v>
      </c>
      <c r="BB11" s="37">
        <f t="shared" si="15"/>
        <v>-0.5</v>
      </c>
      <c r="BC11" s="37">
        <f t="shared" si="0"/>
        <v>-1.5</v>
      </c>
      <c r="BD11" s="37">
        <f t="shared" si="16"/>
        <v>-1.5</v>
      </c>
      <c r="BE11" s="37">
        <f t="shared" si="17"/>
        <v>-0.5</v>
      </c>
      <c r="BF11" s="13" cm="1">
        <f t="array" ref="BF11">SUMPRODUCT((1/COUNTIFS($A$3:$A11,$A$3:$A11,$H$3:$H11,$H$3:$H11,$I$3:$I11,$I$3:$I11)))</f>
        <v>4</v>
      </c>
      <c r="BG11" s="13">
        <v>0</v>
      </c>
      <c r="BH11" s="12">
        <f t="shared" si="4"/>
        <v>0</v>
      </c>
    </row>
    <row r="12" spans="1:60" x14ac:dyDescent="0.2">
      <c r="A12" s="91">
        <v>46267</v>
      </c>
      <c r="C12" s="37">
        <v>11.09</v>
      </c>
      <c r="D12" s="13" t="s">
        <v>133</v>
      </c>
      <c r="E12" s="13" t="s">
        <v>134</v>
      </c>
      <c r="H12" t="s">
        <v>135</v>
      </c>
      <c r="I12" s="13">
        <v>5</v>
      </c>
      <c r="J12" s="13">
        <v>12</v>
      </c>
      <c r="K12" t="s">
        <v>121</v>
      </c>
      <c r="L12" s="37">
        <v>0.5</v>
      </c>
      <c r="M12" s="37">
        <v>14.5</v>
      </c>
      <c r="N12" s="37">
        <v>27</v>
      </c>
      <c r="O12" s="37" t="s">
        <v>17</v>
      </c>
      <c r="Q12" s="13" t="s">
        <v>4</v>
      </c>
      <c r="R12" s="37">
        <v>24.92</v>
      </c>
      <c r="S12" s="13" t="s">
        <v>136</v>
      </c>
      <c r="T12" s="38" t="str">
        <f t="shared" si="5"/>
        <v>0.00</v>
      </c>
      <c r="U12" s="38">
        <f t="shared" si="18"/>
        <v>-0.5</v>
      </c>
      <c r="V12" s="38">
        <f t="shared" si="19"/>
        <v>-5</v>
      </c>
      <c r="W12" s="38">
        <f t="shared" si="20"/>
        <v>5</v>
      </c>
      <c r="X12" s="39">
        <f t="shared" si="21"/>
        <v>-1</v>
      </c>
      <c r="Y12" s="40">
        <f t="shared" si="22"/>
        <v>-0.05</v>
      </c>
      <c r="Z12" s="41">
        <f t="shared" si="23"/>
        <v>-500</v>
      </c>
      <c r="AA12" s="13" t="s">
        <v>57</v>
      </c>
      <c r="AT12" s="37">
        <v>20.7</v>
      </c>
      <c r="AU12" s="37">
        <v>18</v>
      </c>
      <c r="AV12" s="10">
        <f t="shared" si="12"/>
        <v>13</v>
      </c>
      <c r="AW12" s="10">
        <f t="shared" si="13"/>
        <v>24.92</v>
      </c>
      <c r="AZ12" t="str">
        <f t="shared" si="14"/>
        <v>Yes</v>
      </c>
      <c r="BB12" s="37">
        <f t="shared" si="15"/>
        <v>-0.5</v>
      </c>
      <c r="BC12" s="37">
        <f t="shared" si="0"/>
        <v>-1.5</v>
      </c>
      <c r="BD12" s="37">
        <f t="shared" si="16"/>
        <v>-1.5</v>
      </c>
      <c r="BE12" s="37">
        <f t="shared" si="17"/>
        <v>-0.5</v>
      </c>
      <c r="BF12" s="13" cm="1">
        <f t="array" ref="BF12">SUMPRODUCT((1/COUNTIFS($A$3:$A12,$A$3:$A12,$H$3:$H12,$H$3:$H12,$I$3:$I12,$I$3:$I12)))</f>
        <v>4</v>
      </c>
      <c r="BG12" s="13">
        <v>0</v>
      </c>
      <c r="BH12" s="12">
        <f t="shared" si="4"/>
        <v>0</v>
      </c>
    </row>
    <row r="13" spans="1:60" x14ac:dyDescent="0.2">
      <c r="A13" s="91">
        <v>46267</v>
      </c>
      <c r="C13" s="37">
        <v>11.09</v>
      </c>
      <c r="D13" s="13" t="s">
        <v>133</v>
      </c>
      <c r="E13" s="13" t="s">
        <v>134</v>
      </c>
      <c r="H13" t="s">
        <v>135</v>
      </c>
      <c r="I13" s="13">
        <v>6</v>
      </c>
      <c r="J13" s="13">
        <v>3</v>
      </c>
      <c r="K13" t="s">
        <v>123</v>
      </c>
      <c r="L13" s="37">
        <v>0.5</v>
      </c>
      <c r="M13" s="37">
        <v>6</v>
      </c>
      <c r="N13" s="37">
        <v>6.4</v>
      </c>
      <c r="O13" s="37" t="s">
        <v>17</v>
      </c>
      <c r="Q13" s="13" t="s">
        <v>4</v>
      </c>
      <c r="R13" s="37">
        <v>5.9680000000000009</v>
      </c>
      <c r="S13" s="13" t="s">
        <v>136</v>
      </c>
      <c r="T13" s="38" t="str">
        <f t="shared" si="5"/>
        <v>0.00</v>
      </c>
      <c r="U13" s="38">
        <f t="shared" si="18"/>
        <v>-0.5</v>
      </c>
      <c r="V13" s="38">
        <f t="shared" si="19"/>
        <v>-5.5</v>
      </c>
      <c r="W13" s="38">
        <f t="shared" si="20"/>
        <v>5.5</v>
      </c>
      <c r="X13" s="39">
        <f t="shared" si="21"/>
        <v>-1</v>
      </c>
      <c r="Y13" s="40">
        <f t="shared" si="22"/>
        <v>-5.5E-2</v>
      </c>
      <c r="Z13" s="41">
        <f t="shared" si="23"/>
        <v>-550</v>
      </c>
      <c r="AA13" s="13" t="s">
        <v>57</v>
      </c>
      <c r="AT13" s="37">
        <v>6.6</v>
      </c>
      <c r="AU13" s="37">
        <v>6</v>
      </c>
      <c r="AV13" s="10">
        <f t="shared" si="12"/>
        <v>2.7</v>
      </c>
      <c r="AW13" s="10">
        <f t="shared" si="13"/>
        <v>5.9680000000000009</v>
      </c>
      <c r="AZ13" t="str">
        <f t="shared" si="14"/>
        <v>Yes</v>
      </c>
      <c r="BB13" s="37">
        <f t="shared" si="15"/>
        <v>-0.5</v>
      </c>
      <c r="BC13" s="37">
        <f t="shared" si="0"/>
        <v>-2</v>
      </c>
      <c r="BD13" s="37">
        <f t="shared" si="16"/>
        <v>-2</v>
      </c>
      <c r="BE13" s="37">
        <f t="shared" si="17"/>
        <v>-0.5</v>
      </c>
      <c r="BF13" s="13" cm="1">
        <f t="array" ref="BF13">SUMPRODUCT((1/COUNTIFS($A$3:$A13,$A$3:$A13,$H$3:$H13,$H$3:$H13,$I$3:$I13,$I$3:$I13)))</f>
        <v>5</v>
      </c>
      <c r="BG13" s="13">
        <v>0</v>
      </c>
      <c r="BH13" s="12">
        <f t="shared" si="4"/>
        <v>0</v>
      </c>
    </row>
    <row r="14" spans="1:60" x14ac:dyDescent="0.2">
      <c r="A14" s="91">
        <v>46267</v>
      </c>
      <c r="C14" s="37">
        <v>11.09</v>
      </c>
      <c r="D14" s="13" t="s">
        <v>133</v>
      </c>
      <c r="E14" s="13" t="s">
        <v>134</v>
      </c>
      <c r="H14" t="s">
        <v>135</v>
      </c>
      <c r="I14" s="13">
        <v>6</v>
      </c>
      <c r="J14" s="13">
        <v>4</v>
      </c>
      <c r="K14" t="s">
        <v>124</v>
      </c>
      <c r="L14" s="37">
        <v>0.5</v>
      </c>
      <c r="M14" s="37">
        <v>9</v>
      </c>
      <c r="N14" s="37">
        <v>10.5</v>
      </c>
      <c r="O14" s="37" t="s">
        <v>17</v>
      </c>
      <c r="Q14" s="13" t="s">
        <v>4</v>
      </c>
      <c r="R14" s="37">
        <v>9.74</v>
      </c>
      <c r="S14" s="13" t="s">
        <v>136</v>
      </c>
      <c r="T14" s="38" t="str">
        <f t="shared" si="5"/>
        <v>0.00</v>
      </c>
      <c r="U14" s="38">
        <f t="shared" si="18"/>
        <v>-0.5</v>
      </c>
      <c r="V14" s="38">
        <f t="shared" si="19"/>
        <v>-6</v>
      </c>
      <c r="W14" s="38">
        <f t="shared" si="20"/>
        <v>6</v>
      </c>
      <c r="X14" s="39">
        <f t="shared" si="21"/>
        <v>-1</v>
      </c>
      <c r="Y14" s="40">
        <f t="shared" si="22"/>
        <v>-0.06</v>
      </c>
      <c r="Z14" s="41">
        <f t="shared" si="23"/>
        <v>-600</v>
      </c>
      <c r="AA14" s="13" t="s">
        <v>57</v>
      </c>
      <c r="AT14" s="37">
        <v>12.2</v>
      </c>
      <c r="AU14" s="37">
        <v>9.5</v>
      </c>
      <c r="AV14" s="10">
        <f t="shared" si="12"/>
        <v>4.75</v>
      </c>
      <c r="AW14" s="10">
        <f t="shared" si="13"/>
        <v>9.74</v>
      </c>
      <c r="AZ14" t="str">
        <f t="shared" si="14"/>
        <v>Yes</v>
      </c>
      <c r="BB14" s="37">
        <f t="shared" si="15"/>
        <v>-0.5</v>
      </c>
      <c r="BC14" s="37">
        <f t="shared" si="0"/>
        <v>-2</v>
      </c>
      <c r="BD14" s="37">
        <f t="shared" si="16"/>
        <v>-2</v>
      </c>
      <c r="BE14" s="37">
        <f t="shared" si="17"/>
        <v>-0.5</v>
      </c>
      <c r="BF14" s="13" cm="1">
        <f t="array" ref="BF14">SUMPRODUCT((1/COUNTIFS($A$3:$A14,$A$3:$A14,$H$3:$H14,$H$3:$H14,$I$3:$I14,$I$3:$I14)))</f>
        <v>5</v>
      </c>
      <c r="BG14" s="13">
        <v>0</v>
      </c>
      <c r="BH14" s="12">
        <f t="shared" si="4"/>
        <v>0</v>
      </c>
    </row>
    <row r="15" spans="1:60" x14ac:dyDescent="0.2">
      <c r="A15" s="91">
        <v>46267</v>
      </c>
      <c r="C15" s="37">
        <v>11.09</v>
      </c>
      <c r="D15" s="13" t="s">
        <v>133</v>
      </c>
      <c r="E15" s="13" t="s">
        <v>134</v>
      </c>
      <c r="H15" t="s">
        <v>135</v>
      </c>
      <c r="I15" s="13">
        <v>6</v>
      </c>
      <c r="J15" s="13">
        <v>10</v>
      </c>
      <c r="K15" t="s">
        <v>126</v>
      </c>
      <c r="L15" s="37">
        <v>0.5</v>
      </c>
      <c r="M15" s="37">
        <v>10</v>
      </c>
      <c r="N15" s="37">
        <v>12.61</v>
      </c>
      <c r="O15" s="37" t="s">
        <v>17</v>
      </c>
      <c r="Q15" s="13" t="s">
        <v>4</v>
      </c>
      <c r="R15" s="37">
        <v>11.6812</v>
      </c>
      <c r="S15" s="13" t="s">
        <v>136</v>
      </c>
      <c r="T15" s="38" t="str">
        <f t="shared" si="5"/>
        <v>0.00</v>
      </c>
      <c r="U15" s="38">
        <f t="shared" si="18"/>
        <v>-0.5</v>
      </c>
      <c r="V15" s="38">
        <f t="shared" si="19"/>
        <v>-6.5</v>
      </c>
      <c r="W15" s="38">
        <f t="shared" si="20"/>
        <v>6.5</v>
      </c>
      <c r="X15" s="39">
        <f t="shared" si="21"/>
        <v>-1</v>
      </c>
      <c r="Y15" s="40">
        <f t="shared" si="22"/>
        <v>-6.5000000000000002E-2</v>
      </c>
      <c r="Z15" s="41">
        <f t="shared" si="23"/>
        <v>-650</v>
      </c>
      <c r="AA15" s="13" t="s">
        <v>57</v>
      </c>
      <c r="AT15" s="37">
        <v>13.9</v>
      </c>
      <c r="AU15" s="37">
        <v>11</v>
      </c>
      <c r="AV15" s="10">
        <f t="shared" si="12"/>
        <v>5.8049999999999997</v>
      </c>
      <c r="AW15" s="10">
        <f t="shared" si="13"/>
        <v>11.6812</v>
      </c>
      <c r="AZ15" t="str">
        <f t="shared" si="14"/>
        <v>Yes</v>
      </c>
      <c r="BB15" s="37">
        <f t="shared" si="15"/>
        <v>-0.5</v>
      </c>
      <c r="BC15" s="37">
        <f t="shared" si="0"/>
        <v>-2</v>
      </c>
      <c r="BD15" s="37">
        <f t="shared" si="16"/>
        <v>-2</v>
      </c>
      <c r="BE15" s="37">
        <f t="shared" si="17"/>
        <v>-0.5</v>
      </c>
      <c r="BF15" s="13" cm="1">
        <f t="array" ref="BF15">SUMPRODUCT((1/COUNTIFS($A$3:$A15,$A$3:$A15,$H$3:$H15,$H$3:$H15,$I$3:$I15,$I$3:$I15)))</f>
        <v>4.9999999999999991</v>
      </c>
      <c r="BG15" s="13">
        <v>0</v>
      </c>
      <c r="BH15" s="12">
        <f t="shared" si="4"/>
        <v>0</v>
      </c>
    </row>
    <row r="16" spans="1:60" x14ac:dyDescent="0.2">
      <c r="A16" s="91">
        <v>46267</v>
      </c>
      <c r="C16" s="37">
        <v>11.09</v>
      </c>
      <c r="D16" s="13" t="s">
        <v>133</v>
      </c>
      <c r="E16" s="13" t="s">
        <v>134</v>
      </c>
      <c r="H16" t="s">
        <v>135</v>
      </c>
      <c r="I16" s="13">
        <v>6</v>
      </c>
      <c r="J16" s="13">
        <v>13</v>
      </c>
      <c r="K16" s="92" t="s">
        <v>128</v>
      </c>
      <c r="L16" s="37">
        <v>0.5</v>
      </c>
      <c r="M16" s="37">
        <v>9.6</v>
      </c>
      <c r="N16" s="37">
        <v>10.5</v>
      </c>
      <c r="O16" s="37" t="s">
        <v>17</v>
      </c>
      <c r="Q16" s="13" t="s">
        <v>4</v>
      </c>
      <c r="R16" s="37">
        <v>9.74</v>
      </c>
      <c r="S16" s="13">
        <v>3</v>
      </c>
      <c r="T16" s="38" t="str">
        <f t="shared" si="5"/>
        <v>0.00</v>
      </c>
      <c r="U16" s="38">
        <f t="shared" si="18"/>
        <v>-0.5</v>
      </c>
      <c r="V16" s="38">
        <f t="shared" si="19"/>
        <v>-7</v>
      </c>
      <c r="W16" s="38">
        <f t="shared" si="20"/>
        <v>7</v>
      </c>
      <c r="X16" s="39">
        <f t="shared" si="21"/>
        <v>-1</v>
      </c>
      <c r="Y16" s="40">
        <f t="shared" si="22"/>
        <v>-7.0000000000000007E-2</v>
      </c>
      <c r="Z16" s="41">
        <f t="shared" si="23"/>
        <v>-700</v>
      </c>
      <c r="AA16" s="13" t="s">
        <v>57</v>
      </c>
      <c r="AT16" s="37">
        <v>10</v>
      </c>
      <c r="AU16" s="37">
        <v>8.5</v>
      </c>
      <c r="AV16" s="10">
        <f t="shared" si="12"/>
        <v>4.75</v>
      </c>
      <c r="AW16" s="10">
        <f t="shared" si="13"/>
        <v>9.74</v>
      </c>
      <c r="AZ16" t="str">
        <f t="shared" si="14"/>
        <v>Yes</v>
      </c>
      <c r="BB16" s="37">
        <f t="shared" si="15"/>
        <v>-0.5</v>
      </c>
      <c r="BC16" s="37">
        <f t="shared" si="0"/>
        <v>-2</v>
      </c>
      <c r="BD16" s="37">
        <f t="shared" si="16"/>
        <v>-2</v>
      </c>
      <c r="BE16" s="37">
        <f t="shared" si="17"/>
        <v>-0.5</v>
      </c>
      <c r="BF16" s="13" cm="1">
        <f t="array" ref="BF16">SUMPRODUCT((1/COUNTIFS($A$3:$A16,$A$3:$A16,$H$3:$H16,$H$3:$H16,$I$3:$I16,$I$3:$I16)))</f>
        <v>5</v>
      </c>
      <c r="BG16" s="13">
        <v>0</v>
      </c>
      <c r="BH16" s="12">
        <f t="shared" si="4"/>
        <v>0</v>
      </c>
    </row>
    <row r="17" spans="1:60" x14ac:dyDescent="0.2">
      <c r="A17" s="91">
        <v>46270</v>
      </c>
      <c r="C17" s="37">
        <v>11.18</v>
      </c>
      <c r="D17" s="13" t="s">
        <v>205</v>
      </c>
      <c r="E17" s="13" t="s">
        <v>142</v>
      </c>
      <c r="H17" t="s">
        <v>141</v>
      </c>
      <c r="I17" s="13">
        <v>1</v>
      </c>
      <c r="J17" s="13">
        <v>2</v>
      </c>
      <c r="K17" t="s">
        <v>143</v>
      </c>
      <c r="L17" s="37">
        <v>0.5</v>
      </c>
      <c r="M17" s="37">
        <v>30</v>
      </c>
      <c r="N17" s="37">
        <v>46</v>
      </c>
      <c r="O17" s="37" t="s">
        <v>17</v>
      </c>
      <c r="Q17" s="13" t="s">
        <v>4</v>
      </c>
      <c r="R17" s="37">
        <v>42.4</v>
      </c>
      <c r="S17" s="13" t="s">
        <v>136</v>
      </c>
      <c r="T17" s="38" t="str">
        <f t="shared" si="5"/>
        <v>0.00</v>
      </c>
      <c r="U17" s="38">
        <f t="shared" si="18"/>
        <v>-0.5</v>
      </c>
      <c r="V17" s="38">
        <f t="shared" si="19"/>
        <v>-7.5</v>
      </c>
      <c r="W17" s="38">
        <f t="shared" si="20"/>
        <v>7.5</v>
      </c>
      <c r="X17" s="39">
        <f t="shared" si="21"/>
        <v>-1</v>
      </c>
      <c r="Y17" s="40">
        <f t="shared" si="22"/>
        <v>-7.4999999999999997E-2</v>
      </c>
      <c r="Z17" s="41">
        <f t="shared" si="23"/>
        <v>-750</v>
      </c>
      <c r="AA17" s="13" t="s">
        <v>57</v>
      </c>
      <c r="AT17" s="37">
        <v>31</v>
      </c>
      <c r="AU17" s="37">
        <v>31</v>
      </c>
      <c r="AV17" s="10">
        <f t="shared" si="12"/>
        <v>22.5</v>
      </c>
      <c r="AW17" s="10">
        <f t="shared" ref="AW17:AW20" si="24">0.92*(N17-1)+1</f>
        <v>42.4</v>
      </c>
      <c r="AZ17" t="str">
        <f t="shared" ref="AZ17:AZ20" si="25">IF(N17&gt;=M17,"Yes","No")</f>
        <v>Yes</v>
      </c>
      <c r="BB17" s="37">
        <f t="shared" ref="BB17:BB20" si="26">IF(AA17="W",
   L17*(N17-1),
   -L17
)</f>
        <v>-0.5</v>
      </c>
      <c r="BC17" s="37">
        <f t="shared" si="0"/>
        <v>-0.5</v>
      </c>
      <c r="BD17" s="37">
        <f t="shared" ref="BD17:BD20" si="27">IF(BC17&gt;0, BC17*0.92, BC17)</f>
        <v>-0.5</v>
      </c>
      <c r="BE17" s="37">
        <f t="shared" ref="BE17:BE20" si="28">IF(
  BC17&gt;0,
  IF(
    AA17="W",
    BB17 - (BC17 - BD17),
    BB17
  ),
  BB17
)</f>
        <v>-0.5</v>
      </c>
      <c r="BF17" s="13" cm="1">
        <f t="array" ref="BF17">SUMPRODUCT((1/COUNTIFS($A$3:$A17,$A$3:$A17,$H$3:$H17,$H$3:$H17,$I$3:$I17,$I$3:$I17)))</f>
        <v>6</v>
      </c>
      <c r="BG17" s="13">
        <v>0</v>
      </c>
      <c r="BH17" s="12">
        <f t="shared" ref="BH17:BH80" si="29">BG17/BF17</f>
        <v>0</v>
      </c>
    </row>
    <row r="18" spans="1:60" x14ac:dyDescent="0.2">
      <c r="A18" s="91">
        <v>46270</v>
      </c>
      <c r="C18" s="37">
        <v>11.18</v>
      </c>
      <c r="D18" s="13" t="s">
        <v>205</v>
      </c>
      <c r="E18" s="13" t="s">
        <v>142</v>
      </c>
      <c r="H18" t="s">
        <v>141</v>
      </c>
      <c r="I18" s="13">
        <v>2</v>
      </c>
      <c r="J18" s="13">
        <v>6</v>
      </c>
      <c r="K18" t="s">
        <v>149</v>
      </c>
      <c r="L18" s="37">
        <v>0.5</v>
      </c>
      <c r="M18" s="37">
        <v>15</v>
      </c>
      <c r="N18" s="37">
        <v>16</v>
      </c>
      <c r="O18" s="37" t="s">
        <v>17</v>
      </c>
      <c r="Q18" s="13" t="s">
        <v>4</v>
      </c>
      <c r="R18" s="37">
        <v>14.8</v>
      </c>
      <c r="S18" s="13" t="s">
        <v>136</v>
      </c>
      <c r="T18" s="38" t="str">
        <f t="shared" si="5"/>
        <v>0.00</v>
      </c>
      <c r="U18" s="38">
        <f t="shared" si="18"/>
        <v>-0.5</v>
      </c>
      <c r="V18" s="38">
        <f t="shared" si="19"/>
        <v>-8</v>
      </c>
      <c r="W18" s="38">
        <f t="shared" si="20"/>
        <v>8</v>
      </c>
      <c r="X18" s="39">
        <f t="shared" si="21"/>
        <v>-1</v>
      </c>
      <c r="Y18" s="40">
        <f t="shared" si="22"/>
        <v>-0.08</v>
      </c>
      <c r="Z18" s="41">
        <f t="shared" si="23"/>
        <v>-800</v>
      </c>
      <c r="AA18" s="13" t="s">
        <v>57</v>
      </c>
      <c r="AT18" s="37">
        <v>13.7</v>
      </c>
      <c r="AU18" s="37">
        <v>12</v>
      </c>
      <c r="AV18" s="10">
        <f t="shared" si="12"/>
        <v>7.5</v>
      </c>
      <c r="AW18" s="10">
        <f t="shared" si="24"/>
        <v>14.8</v>
      </c>
      <c r="AZ18" t="str">
        <f t="shared" si="25"/>
        <v>Yes</v>
      </c>
      <c r="BB18" s="37">
        <f t="shared" si="26"/>
        <v>-0.5</v>
      </c>
      <c r="BC18" s="37">
        <f t="shared" si="0"/>
        <v>-0.5</v>
      </c>
      <c r="BD18" s="37">
        <f t="shared" si="27"/>
        <v>-0.5</v>
      </c>
      <c r="BE18" s="37">
        <f t="shared" si="28"/>
        <v>-0.5</v>
      </c>
      <c r="BF18" s="13" cm="1">
        <f t="array" ref="BF18">SUMPRODUCT((1/COUNTIFS($A$3:$A18,$A$3:$A18,$H$3:$H18,$H$3:$H18,$I$3:$I18,$I$3:$I18)))</f>
        <v>7</v>
      </c>
      <c r="BG18" s="13">
        <v>0</v>
      </c>
      <c r="BH18" s="12">
        <f t="shared" si="29"/>
        <v>0</v>
      </c>
    </row>
    <row r="19" spans="1:60" x14ac:dyDescent="0.2">
      <c r="A19" s="91">
        <v>46270</v>
      </c>
      <c r="C19" s="37">
        <v>11.18</v>
      </c>
      <c r="D19" s="13" t="s">
        <v>205</v>
      </c>
      <c r="E19" s="13" t="s">
        <v>134</v>
      </c>
      <c r="H19" t="s">
        <v>138</v>
      </c>
      <c r="I19" s="13">
        <v>1</v>
      </c>
      <c r="J19" s="13">
        <v>11</v>
      </c>
      <c r="K19" t="s">
        <v>147</v>
      </c>
      <c r="L19" s="37">
        <v>0.5</v>
      </c>
      <c r="M19" s="37">
        <v>36</v>
      </c>
      <c r="N19" s="37">
        <v>49.37</v>
      </c>
      <c r="O19" s="37" t="s">
        <v>17</v>
      </c>
      <c r="Q19" s="13" t="s">
        <v>4</v>
      </c>
      <c r="R19" s="37">
        <v>45.500399999999999</v>
      </c>
      <c r="S19" s="13" t="s">
        <v>136</v>
      </c>
      <c r="T19" s="38" t="str">
        <f t="shared" si="5"/>
        <v>0.00</v>
      </c>
      <c r="U19" s="38">
        <f t="shared" si="18"/>
        <v>-0.5</v>
      </c>
      <c r="V19" s="38">
        <f t="shared" si="19"/>
        <v>-8.5</v>
      </c>
      <c r="W19" s="38">
        <f t="shared" si="20"/>
        <v>8.5</v>
      </c>
      <c r="X19" s="39">
        <f t="shared" si="21"/>
        <v>-1</v>
      </c>
      <c r="Y19" s="40">
        <f t="shared" si="22"/>
        <v>-8.5000000000000006E-2</v>
      </c>
      <c r="Z19" s="41">
        <f t="shared" si="23"/>
        <v>-850</v>
      </c>
      <c r="AA19" s="13" t="s">
        <v>57</v>
      </c>
      <c r="AT19" s="37">
        <v>43.1</v>
      </c>
      <c r="AU19" s="37">
        <v>61</v>
      </c>
      <c r="AV19" s="10">
        <f t="shared" si="12"/>
        <v>24.184999999999999</v>
      </c>
      <c r="AW19" s="10">
        <f t="shared" si="24"/>
        <v>45.500399999999999</v>
      </c>
      <c r="AZ19" t="str">
        <f t="shared" si="25"/>
        <v>Yes</v>
      </c>
      <c r="BB19" s="37">
        <f t="shared" si="26"/>
        <v>-0.5</v>
      </c>
      <c r="BC19" s="37">
        <f t="shared" si="0"/>
        <v>-0.5</v>
      </c>
      <c r="BD19" s="37">
        <f t="shared" si="27"/>
        <v>-0.5</v>
      </c>
      <c r="BE19" s="37">
        <f t="shared" si="28"/>
        <v>-0.5</v>
      </c>
      <c r="BF19" s="13" cm="1">
        <f t="array" ref="BF19">SUMPRODUCT((1/COUNTIFS($A$3:$A19,$A$3:$A19,$H$3:$H19,$H$3:$H19,$I$3:$I19,$I$3:$I19)))</f>
        <v>8</v>
      </c>
      <c r="BG19" s="13">
        <v>0</v>
      </c>
      <c r="BH19" s="12">
        <f t="shared" si="29"/>
        <v>0</v>
      </c>
    </row>
    <row r="20" spans="1:60" x14ac:dyDescent="0.2">
      <c r="A20" s="91">
        <v>46270</v>
      </c>
      <c r="C20" s="37">
        <v>11.18</v>
      </c>
      <c r="D20" s="13" t="s">
        <v>205</v>
      </c>
      <c r="E20" s="13" t="s">
        <v>134</v>
      </c>
      <c r="H20" t="s">
        <v>138</v>
      </c>
      <c r="I20" s="13">
        <v>2</v>
      </c>
      <c r="J20" s="13">
        <v>9</v>
      </c>
      <c r="K20" t="s">
        <v>151</v>
      </c>
      <c r="L20" s="37">
        <v>0.5</v>
      </c>
      <c r="M20" s="37">
        <v>8.1999999999999993</v>
      </c>
      <c r="N20" s="37">
        <v>9.5399999999999991</v>
      </c>
      <c r="O20" s="37" t="s">
        <v>17</v>
      </c>
      <c r="Q20" s="13" t="s">
        <v>4</v>
      </c>
      <c r="R20" s="37">
        <v>8.8567999999999998</v>
      </c>
      <c r="S20" s="13" t="s">
        <v>136</v>
      </c>
      <c r="T20" s="38" t="str">
        <f t="shared" si="5"/>
        <v>0.00</v>
      </c>
      <c r="U20" s="38">
        <f t="shared" si="18"/>
        <v>-0.5</v>
      </c>
      <c r="V20" s="38">
        <f t="shared" si="19"/>
        <v>-9</v>
      </c>
      <c r="W20" s="38">
        <f t="shared" si="20"/>
        <v>9</v>
      </c>
      <c r="X20" s="39">
        <f t="shared" si="21"/>
        <v>-1</v>
      </c>
      <c r="Y20" s="40">
        <f t="shared" si="22"/>
        <v>-0.09</v>
      </c>
      <c r="Z20" s="41">
        <f t="shared" si="23"/>
        <v>-900</v>
      </c>
      <c r="AA20" s="13" t="s">
        <v>57</v>
      </c>
      <c r="AT20" s="37">
        <v>9.1999999999999993</v>
      </c>
      <c r="AU20" s="37">
        <v>9</v>
      </c>
      <c r="AV20" s="10">
        <f t="shared" si="12"/>
        <v>4.2699999999999996</v>
      </c>
      <c r="AW20" s="10">
        <f t="shared" si="24"/>
        <v>8.8567999999999998</v>
      </c>
      <c r="AZ20" t="str">
        <f t="shared" si="25"/>
        <v>Yes</v>
      </c>
      <c r="BB20" s="37">
        <f t="shared" si="26"/>
        <v>-0.5</v>
      </c>
      <c r="BC20" s="37">
        <f t="shared" si="0"/>
        <v>-0.5</v>
      </c>
      <c r="BD20" s="37">
        <f t="shared" si="27"/>
        <v>-0.5</v>
      </c>
      <c r="BE20" s="37">
        <f t="shared" si="28"/>
        <v>-0.5</v>
      </c>
      <c r="BF20" s="13" cm="1">
        <f t="array" ref="BF20">SUMPRODUCT((1/COUNTIFS($A$3:$A20,$A$3:$A20,$H$3:$H20,$H$3:$H20,$I$3:$I20,$I$3:$I20)))</f>
        <v>9</v>
      </c>
      <c r="BG20" s="13">
        <v>0</v>
      </c>
      <c r="BH20" s="12">
        <f t="shared" si="29"/>
        <v>0</v>
      </c>
    </row>
    <row r="21" spans="1:60" x14ac:dyDescent="0.2">
      <c r="A21" s="91">
        <v>46270</v>
      </c>
      <c r="C21" s="37">
        <v>11.18</v>
      </c>
      <c r="D21" s="13" t="s">
        <v>205</v>
      </c>
      <c r="E21" s="13" t="s">
        <v>134</v>
      </c>
      <c r="H21" t="s">
        <v>138</v>
      </c>
      <c r="I21" s="13">
        <v>3</v>
      </c>
      <c r="J21" s="13">
        <v>5</v>
      </c>
      <c r="K21" t="s">
        <v>157</v>
      </c>
      <c r="L21" s="37">
        <v>0.5</v>
      </c>
      <c r="M21" s="37">
        <v>19</v>
      </c>
      <c r="N21" s="37">
        <v>19.04</v>
      </c>
      <c r="O21" s="37" t="s">
        <v>17</v>
      </c>
      <c r="Q21" s="13" t="s">
        <v>4</v>
      </c>
      <c r="R21" s="37">
        <v>17.596799999999998</v>
      </c>
      <c r="S21" s="13" t="s">
        <v>136</v>
      </c>
      <c r="T21" s="38" t="str">
        <f t="shared" si="5"/>
        <v>0.00</v>
      </c>
      <c r="U21" s="38">
        <f t="shared" si="18"/>
        <v>-0.5</v>
      </c>
      <c r="V21" s="38">
        <f t="shared" si="19"/>
        <v>-9.5</v>
      </c>
      <c r="W21" s="38">
        <f t="shared" si="20"/>
        <v>9.5</v>
      </c>
      <c r="X21" s="39">
        <f t="shared" si="21"/>
        <v>-1</v>
      </c>
      <c r="Y21" s="40">
        <f t="shared" si="22"/>
        <v>-9.5000000000000001E-2</v>
      </c>
      <c r="Z21" s="41">
        <f t="shared" si="23"/>
        <v>-950</v>
      </c>
      <c r="AA21" s="13" t="s">
        <v>57</v>
      </c>
      <c r="AT21" s="37">
        <v>20.5</v>
      </c>
      <c r="AU21" s="37">
        <v>18</v>
      </c>
      <c r="AV21" s="10">
        <f t="shared" si="12"/>
        <v>9.02</v>
      </c>
      <c r="AW21" s="10">
        <f t="shared" ref="AW21:AW23" si="30">0.92*(N21-1)+1</f>
        <v>17.596799999999998</v>
      </c>
      <c r="AZ21" t="str">
        <f t="shared" ref="AZ21:AZ23" si="31">IF(N21&gt;=M21,"Yes","No")</f>
        <v>Yes</v>
      </c>
      <c r="BB21" s="37">
        <f t="shared" ref="BB21:BB23" si="32">IF(AA21="W",
   L21*(N21-1),
   -L21
)</f>
        <v>-0.5</v>
      </c>
      <c r="BC21" s="37">
        <f t="shared" si="0"/>
        <v>-1.5</v>
      </c>
      <c r="BD21" s="37">
        <f t="shared" ref="BD21:BD23" si="33">IF(BC21&gt;0, BC21*0.92, BC21)</f>
        <v>-1.5</v>
      </c>
      <c r="BE21" s="37">
        <f t="shared" ref="BE21:BE23" si="34">IF(
  BC21&gt;0,
  IF(
    AA21="W",
    BB21 - (BC21 - BD21),
    BB21
  ),
  BB21
)</f>
        <v>-0.5</v>
      </c>
      <c r="BF21" s="13" cm="1">
        <f t="array" ref="BF21">SUMPRODUCT((1/COUNTIFS($A$3:$A21,$A$3:$A21,$H$3:$H21,$H$3:$H21,$I$3:$I21,$I$3:$I21)))</f>
        <v>10</v>
      </c>
      <c r="BG21" s="13">
        <v>0</v>
      </c>
      <c r="BH21" s="12">
        <f t="shared" si="29"/>
        <v>0</v>
      </c>
    </row>
    <row r="22" spans="1:60" x14ac:dyDescent="0.2">
      <c r="A22" s="91">
        <v>46270</v>
      </c>
      <c r="C22" s="37">
        <v>11.18</v>
      </c>
      <c r="D22" s="13" t="s">
        <v>205</v>
      </c>
      <c r="E22" s="13" t="s">
        <v>134</v>
      </c>
      <c r="H22" t="s">
        <v>138</v>
      </c>
      <c r="I22" s="13">
        <v>3</v>
      </c>
      <c r="J22" s="13">
        <v>6</v>
      </c>
      <c r="K22" t="s">
        <v>158</v>
      </c>
      <c r="L22" s="37">
        <v>0.5</v>
      </c>
      <c r="M22" s="37">
        <v>8</v>
      </c>
      <c r="N22" s="37">
        <v>8</v>
      </c>
      <c r="O22" s="37" t="s">
        <v>17</v>
      </c>
      <c r="Q22" s="13" t="s">
        <v>4</v>
      </c>
      <c r="R22" s="37">
        <v>7.44</v>
      </c>
      <c r="S22" s="13" t="s">
        <v>136</v>
      </c>
      <c r="T22" s="38" t="str">
        <f t="shared" si="5"/>
        <v>0.00</v>
      </c>
      <c r="U22" s="38">
        <f t="shared" si="18"/>
        <v>-0.5</v>
      </c>
      <c r="V22" s="38">
        <f t="shared" si="19"/>
        <v>-10</v>
      </c>
      <c r="W22" s="38">
        <f t="shared" si="20"/>
        <v>10</v>
      </c>
      <c r="X22" s="39">
        <f t="shared" si="21"/>
        <v>-1</v>
      </c>
      <c r="Y22" s="40">
        <f t="shared" si="22"/>
        <v>-0.1</v>
      </c>
      <c r="Z22" s="41">
        <f t="shared" si="23"/>
        <v>-1000</v>
      </c>
      <c r="AA22" s="13" t="s">
        <v>57</v>
      </c>
      <c r="AT22" s="37">
        <v>7.9</v>
      </c>
      <c r="AU22" s="37">
        <v>8</v>
      </c>
      <c r="AV22" s="10">
        <f t="shared" si="12"/>
        <v>3.5</v>
      </c>
      <c r="AW22" s="10">
        <f t="shared" si="30"/>
        <v>7.44</v>
      </c>
      <c r="AZ22" t="str">
        <f t="shared" si="31"/>
        <v>Yes</v>
      </c>
      <c r="BB22" s="37">
        <f t="shared" si="32"/>
        <v>-0.5</v>
      </c>
      <c r="BC22" s="37">
        <f t="shared" si="0"/>
        <v>-1.5</v>
      </c>
      <c r="BD22" s="37">
        <f t="shared" si="33"/>
        <v>-1.5</v>
      </c>
      <c r="BE22" s="37">
        <f t="shared" si="34"/>
        <v>-0.5</v>
      </c>
      <c r="BF22" s="13" cm="1">
        <f t="array" ref="BF22">SUMPRODUCT((1/COUNTIFS($A$3:$A22,$A$3:$A22,$H$3:$H22,$H$3:$H22,$I$3:$I22,$I$3:$I22)))</f>
        <v>10</v>
      </c>
      <c r="BG22" s="13">
        <v>0</v>
      </c>
      <c r="BH22" s="12">
        <f t="shared" si="29"/>
        <v>0</v>
      </c>
    </row>
    <row r="23" spans="1:60" x14ac:dyDescent="0.2">
      <c r="A23" s="91">
        <v>46270</v>
      </c>
      <c r="C23" s="37">
        <v>11.18</v>
      </c>
      <c r="D23" s="13" t="s">
        <v>205</v>
      </c>
      <c r="E23" s="13" t="s">
        <v>134</v>
      </c>
      <c r="H23" t="s">
        <v>138</v>
      </c>
      <c r="I23" s="13">
        <v>3</v>
      </c>
      <c r="J23" s="13">
        <v>8</v>
      </c>
      <c r="K23" t="s">
        <v>159</v>
      </c>
      <c r="L23" s="37">
        <v>0.5</v>
      </c>
      <c r="M23" s="37">
        <v>36</v>
      </c>
      <c r="N23" s="37">
        <v>36</v>
      </c>
      <c r="O23" s="37" t="s">
        <v>17</v>
      </c>
      <c r="Q23" s="13" t="s">
        <v>4</v>
      </c>
      <c r="R23" s="37">
        <v>33.200000000000003</v>
      </c>
      <c r="S23" s="13" t="s">
        <v>136</v>
      </c>
      <c r="T23" s="38" t="str">
        <f t="shared" si="5"/>
        <v>0.00</v>
      </c>
      <c r="U23" s="38">
        <f t="shared" si="18"/>
        <v>-0.5</v>
      </c>
      <c r="V23" s="38">
        <f t="shared" si="19"/>
        <v>-10.5</v>
      </c>
      <c r="W23" s="38">
        <f t="shared" si="20"/>
        <v>10.5</v>
      </c>
      <c r="X23" s="39">
        <f t="shared" si="21"/>
        <v>-1</v>
      </c>
      <c r="Y23" s="40">
        <f t="shared" si="22"/>
        <v>-0.105</v>
      </c>
      <c r="Z23" s="41">
        <f t="shared" si="23"/>
        <v>-1050</v>
      </c>
      <c r="AA23" s="13" t="s">
        <v>57</v>
      </c>
      <c r="AT23" s="37">
        <v>38.9</v>
      </c>
      <c r="AU23" s="37">
        <v>31</v>
      </c>
      <c r="AV23" s="10">
        <f t="shared" si="12"/>
        <v>17.5</v>
      </c>
      <c r="AW23" s="10">
        <f t="shared" si="30"/>
        <v>33.200000000000003</v>
      </c>
      <c r="AZ23" t="str">
        <f t="shared" si="31"/>
        <v>Yes</v>
      </c>
      <c r="BB23" s="37">
        <f t="shared" si="32"/>
        <v>-0.5</v>
      </c>
      <c r="BC23" s="37">
        <f t="shared" si="0"/>
        <v>-1.5</v>
      </c>
      <c r="BD23" s="37">
        <f t="shared" si="33"/>
        <v>-1.5</v>
      </c>
      <c r="BE23" s="37">
        <f t="shared" si="34"/>
        <v>-0.5</v>
      </c>
      <c r="BF23" s="13" cm="1">
        <f t="array" ref="BF23">SUMPRODUCT((1/COUNTIFS($A$3:$A23,$A$3:$A23,$H$3:$H23,$H$3:$H23,$I$3:$I23,$I$3:$I23)))</f>
        <v>10.000000000000002</v>
      </c>
      <c r="BG23" s="13">
        <v>0</v>
      </c>
      <c r="BH23" s="12">
        <f t="shared" si="29"/>
        <v>0</v>
      </c>
    </row>
    <row r="24" spans="1:60" x14ac:dyDescent="0.2">
      <c r="A24" s="91">
        <v>46270</v>
      </c>
      <c r="C24" s="37">
        <v>11.18</v>
      </c>
      <c r="D24" s="13" t="s">
        <v>205</v>
      </c>
      <c r="E24" s="13" t="s">
        <v>142</v>
      </c>
      <c r="H24" t="s">
        <v>141</v>
      </c>
      <c r="I24" s="13">
        <v>4</v>
      </c>
      <c r="J24" s="13">
        <v>6</v>
      </c>
      <c r="K24" t="s">
        <v>162</v>
      </c>
      <c r="L24" s="37">
        <v>0.5</v>
      </c>
      <c r="M24" s="37">
        <v>12</v>
      </c>
      <c r="N24" s="37">
        <v>12</v>
      </c>
      <c r="O24" s="37" t="s">
        <v>17</v>
      </c>
      <c r="Q24" s="13" t="s">
        <v>4</v>
      </c>
      <c r="R24" s="37">
        <v>11.120000000000001</v>
      </c>
      <c r="S24" s="13" t="s">
        <v>136</v>
      </c>
      <c r="T24" s="38" t="str">
        <f t="shared" si="5"/>
        <v>0.00</v>
      </c>
      <c r="U24" s="38">
        <f t="shared" si="18"/>
        <v>-0.5</v>
      </c>
      <c r="V24" s="38">
        <f t="shared" si="19"/>
        <v>-11</v>
      </c>
      <c r="W24" s="38">
        <f t="shared" si="20"/>
        <v>11</v>
      </c>
      <c r="X24" s="39">
        <f t="shared" si="21"/>
        <v>-1</v>
      </c>
      <c r="Y24" s="40">
        <f t="shared" si="22"/>
        <v>-0.11</v>
      </c>
      <c r="Z24" s="41">
        <f t="shared" si="23"/>
        <v>-1100</v>
      </c>
      <c r="AA24" s="13" t="s">
        <v>57</v>
      </c>
      <c r="AT24" s="37">
        <v>9.6999999999999993</v>
      </c>
      <c r="AU24" s="37">
        <v>10</v>
      </c>
      <c r="AV24" s="10">
        <f t="shared" si="12"/>
        <v>5.5</v>
      </c>
      <c r="AW24" s="10">
        <f t="shared" ref="AW24:AW26" si="35">0.92*(N24-1)+1</f>
        <v>11.120000000000001</v>
      </c>
      <c r="AZ24" t="str">
        <f t="shared" ref="AZ24:AZ26" si="36">IF(N24&gt;=M24,"Yes","No")</f>
        <v>Yes</v>
      </c>
      <c r="BB24" s="37">
        <f t="shared" ref="BB24:BB26" si="37">IF(AA24="W",
   L24*(N24-1),
   -L24
)</f>
        <v>-0.5</v>
      </c>
      <c r="BC24" s="37">
        <f t="shared" si="0"/>
        <v>-1.5</v>
      </c>
      <c r="BD24" s="37">
        <f t="shared" ref="BD24:BD26" si="38">IF(BC24&gt;0, BC24*0.92, BC24)</f>
        <v>-1.5</v>
      </c>
      <c r="BE24" s="37">
        <f t="shared" ref="BE24:BE26" si="39">IF(
  BC24&gt;0,
  IF(
    AA24="W",
    BB24 - (BC24 - BD24),
    BB24
  ),
  BB24
)</f>
        <v>-0.5</v>
      </c>
      <c r="BF24" s="13" cm="1">
        <f t="array" ref="BF24">SUMPRODUCT((1/COUNTIFS($A$3:$A24,$A$3:$A24,$H$3:$H24,$H$3:$H24,$I$3:$I24,$I$3:$I24)))</f>
        <v>11.000000000000002</v>
      </c>
      <c r="BG24" s="13">
        <v>0</v>
      </c>
      <c r="BH24" s="12">
        <f t="shared" si="29"/>
        <v>0</v>
      </c>
    </row>
    <row r="25" spans="1:60" x14ac:dyDescent="0.2">
      <c r="A25" s="91">
        <v>46270</v>
      </c>
      <c r="C25" s="37">
        <v>11.18</v>
      </c>
      <c r="D25" s="13" t="s">
        <v>205</v>
      </c>
      <c r="E25" s="13" t="s">
        <v>142</v>
      </c>
      <c r="H25" t="s">
        <v>141</v>
      </c>
      <c r="I25" s="13">
        <v>4</v>
      </c>
      <c r="J25" s="13">
        <v>11</v>
      </c>
      <c r="K25" s="98" t="s">
        <v>163</v>
      </c>
      <c r="L25" s="37">
        <v>0.5</v>
      </c>
      <c r="M25" s="37">
        <v>14.5</v>
      </c>
      <c r="N25" s="37">
        <v>14.53</v>
      </c>
      <c r="O25" s="37" t="s">
        <v>17</v>
      </c>
      <c r="Q25" s="13" t="s">
        <v>4</v>
      </c>
      <c r="R25" s="37">
        <v>13.4476</v>
      </c>
      <c r="S25" s="13">
        <v>4</v>
      </c>
      <c r="T25" s="38" t="str">
        <f t="shared" si="5"/>
        <v>0.00</v>
      </c>
      <c r="U25" s="38">
        <f t="shared" si="18"/>
        <v>-0.5</v>
      </c>
      <c r="V25" s="38">
        <f t="shared" si="19"/>
        <v>-11.5</v>
      </c>
      <c r="W25" s="38">
        <f t="shared" si="20"/>
        <v>11.5</v>
      </c>
      <c r="X25" s="39">
        <f t="shared" si="21"/>
        <v>-1</v>
      </c>
      <c r="Y25" s="40">
        <f t="shared" si="22"/>
        <v>-0.115</v>
      </c>
      <c r="Z25" s="41">
        <f t="shared" si="23"/>
        <v>-1150</v>
      </c>
      <c r="AA25" s="13" t="s">
        <v>57</v>
      </c>
      <c r="AT25" s="37">
        <v>13.7</v>
      </c>
      <c r="AU25" s="37">
        <v>13</v>
      </c>
      <c r="AV25" s="10">
        <f t="shared" si="12"/>
        <v>6.7649999999999997</v>
      </c>
      <c r="AW25" s="10">
        <f t="shared" si="35"/>
        <v>13.4476</v>
      </c>
      <c r="AZ25" t="str">
        <f t="shared" si="36"/>
        <v>Yes</v>
      </c>
      <c r="BB25" s="37">
        <f t="shared" si="37"/>
        <v>-0.5</v>
      </c>
      <c r="BC25" s="37">
        <f t="shared" si="0"/>
        <v>-1.5</v>
      </c>
      <c r="BD25" s="37">
        <f t="shared" si="38"/>
        <v>-1.5</v>
      </c>
      <c r="BE25" s="37">
        <f t="shared" si="39"/>
        <v>-0.5</v>
      </c>
      <c r="BF25" s="13" cm="1">
        <f t="array" ref="BF25">SUMPRODUCT((1/COUNTIFS($A$3:$A25,$A$3:$A25,$H$3:$H25,$H$3:$H25,$I$3:$I25,$I$3:$I25)))</f>
        <v>11.000000000000002</v>
      </c>
      <c r="BG25" s="13">
        <v>0</v>
      </c>
      <c r="BH25" s="12">
        <f t="shared" si="29"/>
        <v>0</v>
      </c>
    </row>
    <row r="26" spans="1:60" x14ac:dyDescent="0.2">
      <c r="A26" s="91">
        <v>46270</v>
      </c>
      <c r="C26" s="37">
        <v>11.18</v>
      </c>
      <c r="D26" s="13" t="s">
        <v>205</v>
      </c>
      <c r="E26" s="13" t="s">
        <v>142</v>
      </c>
      <c r="H26" t="s">
        <v>141</v>
      </c>
      <c r="I26" s="13">
        <v>4</v>
      </c>
      <c r="J26" s="13">
        <v>14</v>
      </c>
      <c r="K26" t="s">
        <v>164</v>
      </c>
      <c r="L26" s="37">
        <v>0.5</v>
      </c>
      <c r="M26" s="37">
        <v>10</v>
      </c>
      <c r="N26" s="37">
        <v>10.52</v>
      </c>
      <c r="O26" s="37" t="s">
        <v>17</v>
      </c>
      <c r="Q26" s="13" t="s">
        <v>4</v>
      </c>
      <c r="R26" s="37">
        <v>9.7584</v>
      </c>
      <c r="S26" s="13" t="s">
        <v>136</v>
      </c>
      <c r="T26" s="38" t="str">
        <f t="shared" si="5"/>
        <v>0.00</v>
      </c>
      <c r="U26" s="38">
        <f t="shared" si="18"/>
        <v>-0.5</v>
      </c>
      <c r="V26" s="38">
        <f t="shared" si="19"/>
        <v>-12</v>
      </c>
      <c r="W26" s="38">
        <f t="shared" si="20"/>
        <v>12</v>
      </c>
      <c r="X26" s="39">
        <f t="shared" si="21"/>
        <v>-1</v>
      </c>
      <c r="Y26" s="40">
        <f t="shared" si="22"/>
        <v>-0.12</v>
      </c>
      <c r="Z26" s="41">
        <f t="shared" si="23"/>
        <v>-1200</v>
      </c>
      <c r="AA26" s="13" t="s">
        <v>57</v>
      </c>
      <c r="AT26" s="37">
        <v>10.4</v>
      </c>
      <c r="AU26" s="37">
        <v>9.5</v>
      </c>
      <c r="AV26" s="10">
        <f t="shared" si="12"/>
        <v>4.76</v>
      </c>
      <c r="AW26" s="10">
        <f t="shared" si="35"/>
        <v>9.7584</v>
      </c>
      <c r="AZ26" t="str">
        <f t="shared" si="36"/>
        <v>Yes</v>
      </c>
      <c r="BB26" s="37">
        <f t="shared" si="37"/>
        <v>-0.5</v>
      </c>
      <c r="BC26" s="37">
        <f t="shared" si="0"/>
        <v>-1.5</v>
      </c>
      <c r="BD26" s="37">
        <f t="shared" si="38"/>
        <v>-1.5</v>
      </c>
      <c r="BE26" s="37">
        <f t="shared" si="39"/>
        <v>-0.5</v>
      </c>
      <c r="BF26" s="13" cm="1">
        <f t="array" ref="BF26">SUMPRODUCT((1/COUNTIFS($A$3:$A26,$A$3:$A26,$H$3:$H26,$H$3:$H26,$I$3:$I26,$I$3:$I26)))</f>
        <v>11.000000000000004</v>
      </c>
      <c r="BG26" s="13">
        <v>0</v>
      </c>
      <c r="BH26" s="12">
        <f t="shared" si="29"/>
        <v>0</v>
      </c>
    </row>
    <row r="27" spans="1:60" x14ac:dyDescent="0.2">
      <c r="A27" s="91">
        <v>46270</v>
      </c>
      <c r="C27" s="37">
        <v>11.18</v>
      </c>
      <c r="D27" s="13" t="s">
        <v>205</v>
      </c>
      <c r="E27" s="13" t="s">
        <v>134</v>
      </c>
      <c r="H27" t="s">
        <v>138</v>
      </c>
      <c r="I27" s="13">
        <v>4</v>
      </c>
      <c r="J27" s="13">
        <v>7</v>
      </c>
      <c r="K27" s="92" t="s">
        <v>166</v>
      </c>
      <c r="L27" s="37">
        <v>0.5</v>
      </c>
      <c r="M27" s="37">
        <v>7.2</v>
      </c>
      <c r="N27" s="37">
        <v>8.7200000000000006</v>
      </c>
      <c r="O27" s="37" t="s">
        <v>17</v>
      </c>
      <c r="Q27" s="13" t="s">
        <v>4</v>
      </c>
      <c r="R27" s="37">
        <v>8.1024000000000012</v>
      </c>
      <c r="S27" s="13">
        <v>3</v>
      </c>
      <c r="T27" s="38" t="str">
        <f t="shared" si="5"/>
        <v>0.00</v>
      </c>
      <c r="U27" s="38">
        <f t="shared" si="18"/>
        <v>-0.5</v>
      </c>
      <c r="V27" s="38">
        <f t="shared" si="19"/>
        <v>-12.5</v>
      </c>
      <c r="W27" s="38">
        <f t="shared" si="20"/>
        <v>12.5</v>
      </c>
      <c r="X27" s="39">
        <f t="shared" si="21"/>
        <v>-1</v>
      </c>
      <c r="Y27" s="40">
        <f t="shared" si="22"/>
        <v>-0.125</v>
      </c>
      <c r="Z27" s="41">
        <f t="shared" si="23"/>
        <v>-1250</v>
      </c>
      <c r="AA27" s="13" t="s">
        <v>57</v>
      </c>
      <c r="AT27" s="37">
        <v>7.5</v>
      </c>
      <c r="AU27" s="37">
        <v>8.5</v>
      </c>
      <c r="AV27" s="10">
        <f t="shared" si="12"/>
        <v>3.8600000000000003</v>
      </c>
      <c r="AW27" s="10">
        <f t="shared" ref="AW27" si="40">0.92*(N27-1)+1</f>
        <v>8.1024000000000012</v>
      </c>
      <c r="AZ27" t="str">
        <f t="shared" ref="AZ27" si="41">IF(N27&gt;=M27,"Yes","No")</f>
        <v>Yes</v>
      </c>
      <c r="BB27" s="37">
        <f t="shared" ref="BB27" si="42">IF(AA27="W",
   L27*(N27-1),
   -L27
)</f>
        <v>-0.5</v>
      </c>
      <c r="BC27" s="37">
        <f t="shared" si="0"/>
        <v>-0.5</v>
      </c>
      <c r="BD27" s="37">
        <f t="shared" ref="BD27" si="43">IF(BC27&gt;0, BC27*0.92, BC27)</f>
        <v>-0.5</v>
      </c>
      <c r="BE27" s="37">
        <f t="shared" ref="BE27" si="44">IF(
  BC27&gt;0,
  IF(
    AA27="W",
    BB27 - (BC27 - BD27),
    BB27
  ),
  BB27
)</f>
        <v>-0.5</v>
      </c>
      <c r="BF27" s="13" cm="1">
        <f t="array" ref="BF27">SUMPRODUCT((1/COUNTIFS($A$3:$A27,$A$3:$A27,$H$3:$H27,$H$3:$H27,$I$3:$I27,$I$3:$I27)))</f>
        <v>12.000000000000004</v>
      </c>
      <c r="BG27" s="13">
        <v>0</v>
      </c>
      <c r="BH27" s="12">
        <f t="shared" si="29"/>
        <v>0</v>
      </c>
    </row>
    <row r="28" spans="1:60" x14ac:dyDescent="0.2">
      <c r="A28" s="91">
        <v>46270</v>
      </c>
      <c r="C28" s="37">
        <v>11.18</v>
      </c>
      <c r="D28" s="13" t="s">
        <v>205</v>
      </c>
      <c r="E28" s="13" t="s">
        <v>142</v>
      </c>
      <c r="H28" t="s">
        <v>141</v>
      </c>
      <c r="I28" s="13">
        <v>5</v>
      </c>
      <c r="J28" s="13">
        <v>3</v>
      </c>
      <c r="K28" t="s">
        <v>168</v>
      </c>
      <c r="L28" s="37">
        <v>0.5</v>
      </c>
      <c r="M28" s="37">
        <v>9.1999999999999993</v>
      </c>
      <c r="N28" s="37">
        <v>10.5</v>
      </c>
      <c r="O28" s="37" t="s">
        <v>17</v>
      </c>
      <c r="Q28" s="13" t="s">
        <v>4</v>
      </c>
      <c r="R28" s="37">
        <v>9.74</v>
      </c>
      <c r="S28" s="13" t="s">
        <v>136</v>
      </c>
      <c r="T28" s="38" t="str">
        <f t="shared" si="5"/>
        <v>0.00</v>
      </c>
      <c r="U28" s="38">
        <f t="shared" si="18"/>
        <v>-0.5</v>
      </c>
      <c r="V28" s="38">
        <f t="shared" si="19"/>
        <v>-13</v>
      </c>
      <c r="W28" s="38">
        <f t="shared" si="20"/>
        <v>13</v>
      </c>
      <c r="X28" s="39">
        <f t="shared" si="21"/>
        <v>-1</v>
      </c>
      <c r="Y28" s="40">
        <f t="shared" si="22"/>
        <v>-0.13</v>
      </c>
      <c r="Z28" s="41">
        <f t="shared" si="23"/>
        <v>-1300</v>
      </c>
      <c r="AA28" s="13" t="s">
        <v>57</v>
      </c>
      <c r="AT28" s="37">
        <v>9</v>
      </c>
      <c r="AU28" s="37">
        <v>9</v>
      </c>
      <c r="AV28" s="10">
        <f t="shared" si="12"/>
        <v>4.75</v>
      </c>
      <c r="AW28" s="10">
        <f t="shared" ref="AW28:AW29" si="45">0.92*(N28-1)+1</f>
        <v>9.74</v>
      </c>
      <c r="AZ28" t="str">
        <f t="shared" ref="AZ28:AZ29" si="46">IF(N28&gt;=M28,"Yes","No")</f>
        <v>Yes</v>
      </c>
      <c r="BB28" s="37">
        <f t="shared" ref="BB28:BB29" si="47">IF(AA28="W",
   L28*(N28-1),
   -L28
)</f>
        <v>-0.5</v>
      </c>
      <c r="BC28" s="37">
        <f t="shared" si="0"/>
        <v>-1</v>
      </c>
      <c r="BD28" s="37">
        <f t="shared" ref="BD28:BD29" si="48">IF(BC28&gt;0, BC28*0.92, BC28)</f>
        <v>-1</v>
      </c>
      <c r="BE28" s="37">
        <f t="shared" ref="BE28:BE29" si="49">IF(
  BC28&gt;0,
  IF(
    AA28="W",
    BB28 - (BC28 - BD28),
    BB28
  ),
  BB28
)</f>
        <v>-0.5</v>
      </c>
      <c r="BF28" s="13" cm="1">
        <f t="array" ref="BF28">SUMPRODUCT((1/COUNTIFS($A$3:$A28,$A$3:$A28,$H$3:$H28,$H$3:$H28,$I$3:$I28,$I$3:$I28)))</f>
        <v>13.000000000000004</v>
      </c>
      <c r="BG28" s="13">
        <v>0</v>
      </c>
      <c r="BH28" s="12">
        <f t="shared" si="29"/>
        <v>0</v>
      </c>
    </row>
    <row r="29" spans="1:60" x14ac:dyDescent="0.2">
      <c r="A29" s="91">
        <v>46270</v>
      </c>
      <c r="C29" s="37">
        <v>11.18</v>
      </c>
      <c r="D29" s="13" t="s">
        <v>205</v>
      </c>
      <c r="E29" s="13" t="s">
        <v>142</v>
      </c>
      <c r="H29" t="s">
        <v>141</v>
      </c>
      <c r="I29" s="13">
        <v>5</v>
      </c>
      <c r="J29" s="13">
        <v>12</v>
      </c>
      <c r="K29" t="s">
        <v>170</v>
      </c>
      <c r="L29" s="37">
        <v>0.5</v>
      </c>
      <c r="M29" s="37">
        <v>30</v>
      </c>
      <c r="N29" s="37">
        <v>51.07</v>
      </c>
      <c r="O29" s="37" t="s">
        <v>17</v>
      </c>
      <c r="Q29" s="13" t="s">
        <v>4</v>
      </c>
      <c r="R29" s="37">
        <v>47.064399999999999</v>
      </c>
      <c r="S29" s="13" t="s">
        <v>136</v>
      </c>
      <c r="T29" s="38" t="str">
        <f t="shared" si="5"/>
        <v>0.00</v>
      </c>
      <c r="U29" s="38">
        <f t="shared" si="18"/>
        <v>-0.5</v>
      </c>
      <c r="V29" s="38">
        <f t="shared" si="19"/>
        <v>-13.5</v>
      </c>
      <c r="W29" s="38">
        <f t="shared" si="20"/>
        <v>13.5</v>
      </c>
      <c r="X29" s="39">
        <f t="shared" si="21"/>
        <v>-1</v>
      </c>
      <c r="Y29" s="40">
        <f t="shared" si="22"/>
        <v>-0.13500000000000001</v>
      </c>
      <c r="Z29" s="41">
        <f t="shared" si="23"/>
        <v>-1350</v>
      </c>
      <c r="AA29" s="13" t="s">
        <v>57</v>
      </c>
      <c r="AT29" s="37">
        <v>33.799999999999997</v>
      </c>
      <c r="AU29" s="37">
        <v>31</v>
      </c>
      <c r="AV29" s="10">
        <f t="shared" si="12"/>
        <v>25.035</v>
      </c>
      <c r="AW29" s="10">
        <f t="shared" si="45"/>
        <v>47.064399999999999</v>
      </c>
      <c r="AZ29" t="str">
        <f t="shared" si="46"/>
        <v>Yes</v>
      </c>
      <c r="BB29" s="37">
        <f t="shared" si="47"/>
        <v>-0.5</v>
      </c>
      <c r="BC29" s="37">
        <f t="shared" si="0"/>
        <v>-1</v>
      </c>
      <c r="BD29" s="37">
        <f t="shared" si="48"/>
        <v>-1</v>
      </c>
      <c r="BE29" s="37">
        <f t="shared" si="49"/>
        <v>-0.5</v>
      </c>
      <c r="BF29" s="13" cm="1">
        <f t="array" ref="BF29">SUMPRODUCT((1/COUNTIFS($A$3:$A29,$A$3:$A29,$H$3:$H29,$H$3:$H29,$I$3:$I29,$I$3:$I29)))</f>
        <v>13.000000000000004</v>
      </c>
      <c r="BG29" s="13">
        <v>0</v>
      </c>
      <c r="BH29" s="12">
        <f t="shared" si="29"/>
        <v>0</v>
      </c>
    </row>
    <row r="30" spans="1:60" x14ac:dyDescent="0.2">
      <c r="A30" s="91">
        <v>46270</v>
      </c>
      <c r="C30" s="37">
        <v>11.18</v>
      </c>
      <c r="D30" s="13" t="s">
        <v>205</v>
      </c>
      <c r="E30" s="13" t="s">
        <v>134</v>
      </c>
      <c r="H30" t="s">
        <v>138</v>
      </c>
      <c r="I30" s="13">
        <v>5</v>
      </c>
      <c r="J30" s="13">
        <v>2</v>
      </c>
      <c r="K30" t="s">
        <v>171</v>
      </c>
      <c r="L30" s="37">
        <v>0.5</v>
      </c>
      <c r="M30" s="37">
        <v>15.5</v>
      </c>
      <c r="N30" s="37">
        <v>16.2</v>
      </c>
      <c r="O30" s="37" t="s">
        <v>17</v>
      </c>
      <c r="Q30" s="13" t="s">
        <v>4</v>
      </c>
      <c r="R30" s="37">
        <v>14.984</v>
      </c>
      <c r="S30" s="13" t="s">
        <v>136</v>
      </c>
      <c r="T30" s="38" t="str">
        <f t="shared" si="5"/>
        <v>0.00</v>
      </c>
      <c r="U30" s="38">
        <f t="shared" si="18"/>
        <v>-0.5</v>
      </c>
      <c r="V30" s="38">
        <f t="shared" si="19"/>
        <v>-14</v>
      </c>
      <c r="W30" s="38">
        <f t="shared" si="20"/>
        <v>14</v>
      </c>
      <c r="X30" s="39">
        <f t="shared" si="21"/>
        <v>-1</v>
      </c>
      <c r="Y30" s="40">
        <f t="shared" si="22"/>
        <v>-0.14000000000000001</v>
      </c>
      <c r="Z30" s="41">
        <f t="shared" si="23"/>
        <v>-1400</v>
      </c>
      <c r="AA30" s="13" t="s">
        <v>57</v>
      </c>
      <c r="AT30" s="37">
        <v>16</v>
      </c>
      <c r="AU30" s="37">
        <v>17</v>
      </c>
      <c r="AV30" s="10">
        <f t="shared" si="12"/>
        <v>7.6</v>
      </c>
      <c r="AW30" s="10">
        <f t="shared" ref="AW30:AW34" si="50">0.92*(N30-1)+1</f>
        <v>14.984</v>
      </c>
      <c r="AZ30" t="str">
        <f t="shared" ref="AZ30:AZ34" si="51">IF(N30&gt;=M30,"Yes","No")</f>
        <v>Yes</v>
      </c>
      <c r="BB30" s="37">
        <f t="shared" ref="BB30:BB34" si="52">IF(AA30="W",
   L30*(N30-1),
   -L30
)</f>
        <v>-0.5</v>
      </c>
      <c r="BC30" s="37">
        <f t="shared" si="0"/>
        <v>-2.5</v>
      </c>
      <c r="BD30" s="37">
        <f t="shared" ref="BD30:BD34" si="53">IF(BC30&gt;0, BC30*0.92, BC30)</f>
        <v>-2.5</v>
      </c>
      <c r="BE30" s="37">
        <f t="shared" ref="BE30:BE34" si="54">IF(
  BC30&gt;0,
  IF(
    AA30="W",
    BB30 - (BC30 - BD30),
    BB30
  ),
  BB30
)</f>
        <v>-0.5</v>
      </c>
      <c r="BF30" s="13" cm="1">
        <f t="array" ref="BF30">SUMPRODUCT((1/COUNTIFS($A$3:$A30,$A$3:$A30,$H$3:$H30,$H$3:$H30,$I$3:$I30,$I$3:$I30)))</f>
        <v>14.000000000000004</v>
      </c>
      <c r="BG30" s="13">
        <v>0</v>
      </c>
      <c r="BH30" s="12">
        <f t="shared" si="29"/>
        <v>0</v>
      </c>
    </row>
    <row r="31" spans="1:60" x14ac:dyDescent="0.2">
      <c r="A31" s="91">
        <v>46270</v>
      </c>
      <c r="C31" s="37">
        <v>11.18</v>
      </c>
      <c r="D31" s="13" t="s">
        <v>205</v>
      </c>
      <c r="E31" s="13" t="s">
        <v>134</v>
      </c>
      <c r="H31" t="s">
        <v>138</v>
      </c>
      <c r="I31" s="13">
        <v>5</v>
      </c>
      <c r="J31" s="13">
        <v>9</v>
      </c>
      <c r="K31" s="99" t="s">
        <v>173</v>
      </c>
      <c r="L31" s="37">
        <v>0.5</v>
      </c>
      <c r="M31" s="37">
        <v>12</v>
      </c>
      <c r="N31" s="37">
        <v>18.14</v>
      </c>
      <c r="O31" s="37" t="s">
        <v>17</v>
      </c>
      <c r="Q31" s="13" t="s">
        <v>4</v>
      </c>
      <c r="R31" s="37">
        <v>16.768799999999999</v>
      </c>
      <c r="S31" s="13">
        <v>2</v>
      </c>
      <c r="T31" s="38" t="str">
        <f t="shared" si="5"/>
        <v>0.00</v>
      </c>
      <c r="U31" s="38">
        <f t="shared" si="18"/>
        <v>-0.5</v>
      </c>
      <c r="V31" s="38">
        <f t="shared" si="19"/>
        <v>-14.5</v>
      </c>
      <c r="W31" s="38">
        <f t="shared" si="20"/>
        <v>14.5</v>
      </c>
      <c r="X31" s="39">
        <f t="shared" si="21"/>
        <v>-1</v>
      </c>
      <c r="Y31" s="40">
        <f t="shared" si="22"/>
        <v>-0.14499999999999999</v>
      </c>
      <c r="Z31" s="41">
        <f t="shared" si="23"/>
        <v>-1450</v>
      </c>
      <c r="AA31" s="13" t="s">
        <v>57</v>
      </c>
      <c r="AT31" s="37">
        <v>17.7</v>
      </c>
      <c r="AU31" s="37">
        <v>17</v>
      </c>
      <c r="AV31" s="10">
        <f t="shared" si="12"/>
        <v>8.57</v>
      </c>
      <c r="AW31" s="10">
        <f t="shared" si="50"/>
        <v>16.768799999999999</v>
      </c>
      <c r="AZ31" t="str">
        <f t="shared" si="51"/>
        <v>Yes</v>
      </c>
      <c r="BB31" s="37">
        <f t="shared" si="52"/>
        <v>-0.5</v>
      </c>
      <c r="BC31" s="37">
        <f t="shared" si="0"/>
        <v>-2.5</v>
      </c>
      <c r="BD31" s="37">
        <f t="shared" si="53"/>
        <v>-2.5</v>
      </c>
      <c r="BE31" s="37">
        <f t="shared" si="54"/>
        <v>-0.5</v>
      </c>
      <c r="BF31" s="13" cm="1">
        <f t="array" ref="BF31">SUMPRODUCT((1/COUNTIFS($A$3:$A31,$A$3:$A31,$H$3:$H31,$H$3:$H31,$I$3:$I31,$I$3:$I31)))</f>
        <v>14.000000000000004</v>
      </c>
      <c r="BG31" s="13">
        <v>0</v>
      </c>
      <c r="BH31" s="12">
        <f t="shared" si="29"/>
        <v>0</v>
      </c>
    </row>
    <row r="32" spans="1:60" x14ac:dyDescent="0.2">
      <c r="A32" s="91">
        <v>46270</v>
      </c>
      <c r="C32" s="37">
        <v>11.18</v>
      </c>
      <c r="D32" s="13" t="s">
        <v>205</v>
      </c>
      <c r="E32" s="13" t="s">
        <v>134</v>
      </c>
      <c r="H32" t="s">
        <v>138</v>
      </c>
      <c r="I32" s="13">
        <v>5</v>
      </c>
      <c r="J32" s="13">
        <v>10</v>
      </c>
      <c r="K32" t="s">
        <v>174</v>
      </c>
      <c r="L32" s="37">
        <v>0.5</v>
      </c>
      <c r="M32" s="37">
        <v>10.5</v>
      </c>
      <c r="N32" s="37">
        <v>14.84</v>
      </c>
      <c r="O32" s="37" t="s">
        <v>17</v>
      </c>
      <c r="Q32" s="13" t="s">
        <v>4</v>
      </c>
      <c r="R32" s="37">
        <v>13.732800000000001</v>
      </c>
      <c r="S32" s="100" t="s">
        <v>136</v>
      </c>
      <c r="T32" s="38" t="str">
        <f t="shared" si="5"/>
        <v>0.00</v>
      </c>
      <c r="U32" s="38">
        <f t="shared" si="18"/>
        <v>-0.5</v>
      </c>
      <c r="V32" s="38">
        <f t="shared" si="19"/>
        <v>-15</v>
      </c>
      <c r="W32" s="38">
        <f t="shared" si="20"/>
        <v>15</v>
      </c>
      <c r="X32" s="39">
        <f t="shared" si="21"/>
        <v>-1</v>
      </c>
      <c r="Y32" s="40">
        <f t="shared" si="22"/>
        <v>-0.15</v>
      </c>
      <c r="Z32" s="41">
        <f t="shared" si="23"/>
        <v>-1500</v>
      </c>
      <c r="AA32" s="13" t="s">
        <v>57</v>
      </c>
      <c r="AT32" s="37">
        <v>12.7</v>
      </c>
      <c r="AU32" s="37">
        <v>12</v>
      </c>
      <c r="AV32" s="10">
        <f t="shared" si="12"/>
        <v>6.92</v>
      </c>
      <c r="AW32" s="10">
        <f t="shared" si="50"/>
        <v>13.732800000000001</v>
      </c>
      <c r="AZ32" t="str">
        <f t="shared" si="51"/>
        <v>Yes</v>
      </c>
      <c r="BB32" s="37">
        <f t="shared" si="52"/>
        <v>-0.5</v>
      </c>
      <c r="BC32" s="37">
        <f t="shared" si="0"/>
        <v>-2.5</v>
      </c>
      <c r="BD32" s="37">
        <f t="shared" si="53"/>
        <v>-2.5</v>
      </c>
      <c r="BE32" s="37">
        <f t="shared" si="54"/>
        <v>-0.5</v>
      </c>
      <c r="BF32" s="13" cm="1">
        <f t="array" ref="BF32">SUMPRODUCT((1/COUNTIFS($A$3:$A32,$A$3:$A32,$H$3:$H32,$H$3:$H32,$I$3:$I32,$I$3:$I32)))</f>
        <v>14.000000000000005</v>
      </c>
      <c r="BG32" s="13">
        <v>0</v>
      </c>
      <c r="BH32" s="12">
        <f t="shared" si="29"/>
        <v>0</v>
      </c>
    </row>
    <row r="33" spans="1:60" x14ac:dyDescent="0.2">
      <c r="A33" s="91">
        <v>46270</v>
      </c>
      <c r="C33" s="37">
        <v>11.18</v>
      </c>
      <c r="D33" s="13" t="s">
        <v>205</v>
      </c>
      <c r="E33" s="13" t="s">
        <v>134</v>
      </c>
      <c r="H33" t="s">
        <v>138</v>
      </c>
      <c r="I33" s="13">
        <v>5</v>
      </c>
      <c r="J33" s="13">
        <v>11</v>
      </c>
      <c r="K33" t="s">
        <v>175</v>
      </c>
      <c r="L33" s="37">
        <v>0.5</v>
      </c>
      <c r="M33" s="37">
        <v>36</v>
      </c>
      <c r="N33" s="37">
        <v>49.26</v>
      </c>
      <c r="O33" s="37" t="s">
        <v>17</v>
      </c>
      <c r="Q33" s="13" t="s">
        <v>4</v>
      </c>
      <c r="R33" s="37">
        <v>45.3992</v>
      </c>
      <c r="S33" s="100" t="s">
        <v>136</v>
      </c>
      <c r="T33" s="38" t="str">
        <f t="shared" si="5"/>
        <v>0.00</v>
      </c>
      <c r="U33" s="38">
        <f t="shared" si="18"/>
        <v>-0.5</v>
      </c>
      <c r="V33" s="38">
        <f t="shared" si="19"/>
        <v>-15.5</v>
      </c>
      <c r="W33" s="38">
        <f t="shared" si="20"/>
        <v>15.5</v>
      </c>
      <c r="X33" s="39">
        <f t="shared" si="21"/>
        <v>-1</v>
      </c>
      <c r="Y33" s="40">
        <f t="shared" si="22"/>
        <v>-0.155</v>
      </c>
      <c r="Z33" s="41">
        <f t="shared" si="23"/>
        <v>-1550</v>
      </c>
      <c r="AA33" s="13" t="s">
        <v>57</v>
      </c>
      <c r="AT33" s="37">
        <v>47.2</v>
      </c>
      <c r="AU33" s="37">
        <v>51</v>
      </c>
      <c r="AV33" s="10">
        <f t="shared" si="12"/>
        <v>24.13</v>
      </c>
      <c r="AW33" s="10">
        <f t="shared" si="50"/>
        <v>45.3992</v>
      </c>
      <c r="AZ33" t="str">
        <f t="shared" si="51"/>
        <v>Yes</v>
      </c>
      <c r="BB33" s="37">
        <f t="shared" si="52"/>
        <v>-0.5</v>
      </c>
      <c r="BC33" s="37">
        <f t="shared" si="0"/>
        <v>-2.5</v>
      </c>
      <c r="BD33" s="37">
        <f t="shared" si="53"/>
        <v>-2.5</v>
      </c>
      <c r="BE33" s="37">
        <f t="shared" si="54"/>
        <v>-0.5</v>
      </c>
      <c r="BF33" s="13" cm="1">
        <f t="array" ref="BF33">SUMPRODUCT((1/COUNTIFS($A$3:$A33,$A$3:$A33,$H$3:$H33,$H$3:$H33,$I$3:$I33,$I$3:$I33)))</f>
        <v>14.000000000000004</v>
      </c>
      <c r="BG33" s="13">
        <v>0</v>
      </c>
      <c r="BH33" s="12">
        <f t="shared" si="29"/>
        <v>0</v>
      </c>
    </row>
    <row r="34" spans="1:60" x14ac:dyDescent="0.2">
      <c r="A34" s="91">
        <v>46270</v>
      </c>
      <c r="C34" s="37">
        <v>11.18</v>
      </c>
      <c r="D34" s="13" t="s">
        <v>205</v>
      </c>
      <c r="E34" s="13" t="s">
        <v>134</v>
      </c>
      <c r="H34" t="s">
        <v>138</v>
      </c>
      <c r="I34" s="13">
        <v>5</v>
      </c>
      <c r="J34" s="13">
        <v>15</v>
      </c>
      <c r="K34" t="s">
        <v>176</v>
      </c>
      <c r="L34" s="37">
        <v>0.5</v>
      </c>
      <c r="M34" s="37">
        <v>29</v>
      </c>
      <c r="N34" s="37">
        <v>29</v>
      </c>
      <c r="O34" s="37" t="s">
        <v>17</v>
      </c>
      <c r="Q34" s="13" t="s">
        <v>4</v>
      </c>
      <c r="R34" s="37">
        <v>26.76</v>
      </c>
      <c r="S34" s="100" t="s">
        <v>136</v>
      </c>
      <c r="T34" s="38" t="str">
        <f t="shared" si="5"/>
        <v>0.00</v>
      </c>
      <c r="U34" s="38">
        <f t="shared" si="18"/>
        <v>-0.5</v>
      </c>
      <c r="V34" s="38">
        <f t="shared" si="19"/>
        <v>-16</v>
      </c>
      <c r="W34" s="38">
        <f t="shared" si="20"/>
        <v>16</v>
      </c>
      <c r="X34" s="39">
        <f t="shared" si="21"/>
        <v>-1</v>
      </c>
      <c r="Y34" s="40">
        <f t="shared" si="22"/>
        <v>-0.16</v>
      </c>
      <c r="Z34" s="41">
        <f t="shared" si="23"/>
        <v>-1600</v>
      </c>
      <c r="AA34" s="13" t="s">
        <v>57</v>
      </c>
      <c r="AT34" s="37">
        <v>26</v>
      </c>
      <c r="AU34" s="37">
        <v>26</v>
      </c>
      <c r="AV34" s="10">
        <f t="shared" si="12"/>
        <v>14</v>
      </c>
      <c r="AW34" s="10">
        <f t="shared" si="50"/>
        <v>26.76</v>
      </c>
      <c r="AZ34" t="str">
        <f t="shared" si="51"/>
        <v>Yes</v>
      </c>
      <c r="BB34" s="37">
        <f t="shared" si="52"/>
        <v>-0.5</v>
      </c>
      <c r="BC34" s="37">
        <f t="shared" si="0"/>
        <v>-2.5</v>
      </c>
      <c r="BD34" s="37">
        <f t="shared" si="53"/>
        <v>-2.5</v>
      </c>
      <c r="BE34" s="37">
        <f t="shared" si="54"/>
        <v>-0.5</v>
      </c>
      <c r="BF34" s="13" cm="1">
        <f t="array" ref="BF34">SUMPRODUCT((1/COUNTIFS($A$3:$A34,$A$3:$A34,$H$3:$H34,$H$3:$H34,$I$3:$I34,$I$3:$I34)))</f>
        <v>14</v>
      </c>
      <c r="BG34" s="13">
        <v>0</v>
      </c>
      <c r="BH34" s="12">
        <f t="shared" si="29"/>
        <v>0</v>
      </c>
    </row>
    <row r="35" spans="1:60" x14ac:dyDescent="0.2">
      <c r="A35" s="91">
        <v>46270</v>
      </c>
      <c r="C35" s="37">
        <v>11.18</v>
      </c>
      <c r="D35" s="13" t="s">
        <v>205</v>
      </c>
      <c r="E35" s="13" t="s">
        <v>142</v>
      </c>
      <c r="H35" t="s">
        <v>141</v>
      </c>
      <c r="I35" s="13">
        <v>6</v>
      </c>
      <c r="J35" s="13">
        <v>9</v>
      </c>
      <c r="K35" t="s">
        <v>179</v>
      </c>
      <c r="L35" s="37">
        <v>0.5</v>
      </c>
      <c r="M35" s="37">
        <v>18.5</v>
      </c>
      <c r="N35" s="37">
        <v>21</v>
      </c>
      <c r="O35" s="37" t="s">
        <v>17</v>
      </c>
      <c r="Q35" s="13" t="s">
        <v>4</v>
      </c>
      <c r="R35" s="37">
        <v>19.400000000000002</v>
      </c>
      <c r="S35" s="100" t="s">
        <v>136</v>
      </c>
      <c r="T35" s="38" t="str">
        <f t="shared" si="5"/>
        <v>0.00</v>
      </c>
      <c r="U35" s="38">
        <f t="shared" si="18"/>
        <v>-0.5</v>
      </c>
      <c r="V35" s="38">
        <f t="shared" si="19"/>
        <v>-16.5</v>
      </c>
      <c r="W35" s="38">
        <f t="shared" si="20"/>
        <v>16.5</v>
      </c>
      <c r="X35" s="39">
        <f t="shared" si="21"/>
        <v>-1</v>
      </c>
      <c r="Y35" s="40">
        <f t="shared" si="22"/>
        <v>-0.16500000000000001</v>
      </c>
      <c r="Z35" s="41">
        <f t="shared" si="23"/>
        <v>-1650</v>
      </c>
      <c r="AA35" s="13" t="s">
        <v>57</v>
      </c>
      <c r="AT35" s="37">
        <v>17</v>
      </c>
      <c r="AU35" s="37">
        <v>18</v>
      </c>
      <c r="AV35" s="10">
        <f t="shared" si="12"/>
        <v>10</v>
      </c>
      <c r="AW35" s="10">
        <f t="shared" ref="AW35:AW38" si="55">0.92*(N35-1)+1</f>
        <v>19.400000000000002</v>
      </c>
      <c r="AZ35" t="str">
        <f t="shared" ref="AZ35:AZ38" si="56">IF(N35&gt;=M35,"Yes","No")</f>
        <v>Yes</v>
      </c>
      <c r="BB35" s="37">
        <f t="shared" ref="BB35:BB38" si="57">IF(AA35="W",
   L35*(N35-1),
   -L35
)</f>
        <v>-0.5</v>
      </c>
      <c r="BC35" s="37">
        <f t="shared" ref="BC35:BC66" si="58">SUMIFS(
  $BB:$BB,
  $A:$A,$A35,
  $H:$H,$H35,
  $I:$I,$I35
)</f>
        <v>-2</v>
      </c>
      <c r="BD35" s="37">
        <f t="shared" ref="BD35:BD38" si="59">IF(BC35&gt;0, BC35*0.92, BC35)</f>
        <v>-2</v>
      </c>
      <c r="BE35" s="37">
        <f t="shared" ref="BE35:BE38" si="60">IF(
  BC35&gt;0,
  IF(
    AA35="W",
    BB35 - (BC35 - BD35),
    BB35
  ),
  BB35
)</f>
        <v>-0.5</v>
      </c>
      <c r="BF35" s="13" cm="1">
        <f t="array" ref="BF35">SUMPRODUCT((1/COUNTIFS($A$3:$A35,$A$3:$A35,$H$3:$H35,$H$3:$H35,$I$3:$I35,$I$3:$I35)))</f>
        <v>15</v>
      </c>
      <c r="BG35" s="13">
        <v>0</v>
      </c>
      <c r="BH35" s="12">
        <f t="shared" si="29"/>
        <v>0</v>
      </c>
    </row>
    <row r="36" spans="1:60" x14ac:dyDescent="0.2">
      <c r="A36" s="91">
        <v>46270</v>
      </c>
      <c r="C36" s="37">
        <v>11.18</v>
      </c>
      <c r="D36" s="13" t="s">
        <v>205</v>
      </c>
      <c r="E36" s="13" t="s">
        <v>142</v>
      </c>
      <c r="H36" t="s">
        <v>141</v>
      </c>
      <c r="I36" s="13">
        <v>6</v>
      </c>
      <c r="J36" s="13">
        <v>10</v>
      </c>
      <c r="K36" t="s">
        <v>180</v>
      </c>
      <c r="L36" s="37">
        <v>0.5</v>
      </c>
      <c r="M36" s="37">
        <v>9.8000000000000007</v>
      </c>
      <c r="N36" s="37">
        <v>13.7</v>
      </c>
      <c r="O36" s="37" t="s">
        <v>17</v>
      </c>
      <c r="Q36" s="13" t="s">
        <v>4</v>
      </c>
      <c r="R36" s="37">
        <v>12.683999999999999</v>
      </c>
      <c r="S36" s="100" t="s">
        <v>136</v>
      </c>
      <c r="T36" s="38" t="str">
        <f t="shared" si="5"/>
        <v>0.00</v>
      </c>
      <c r="U36" s="38">
        <f t="shared" si="18"/>
        <v>-0.5</v>
      </c>
      <c r="V36" s="38">
        <f t="shared" si="19"/>
        <v>-17</v>
      </c>
      <c r="W36" s="38">
        <f t="shared" si="20"/>
        <v>17</v>
      </c>
      <c r="X36" s="39">
        <f t="shared" si="21"/>
        <v>-1</v>
      </c>
      <c r="Y36" s="40">
        <f t="shared" si="22"/>
        <v>-0.17</v>
      </c>
      <c r="Z36" s="41">
        <f t="shared" si="23"/>
        <v>-1700</v>
      </c>
      <c r="AA36" s="13" t="s">
        <v>57</v>
      </c>
      <c r="AT36" s="37">
        <v>10.6</v>
      </c>
      <c r="AU36" s="37">
        <v>10</v>
      </c>
      <c r="AV36" s="10">
        <f t="shared" si="12"/>
        <v>6.35</v>
      </c>
      <c r="AW36" s="10">
        <f t="shared" si="55"/>
        <v>12.683999999999999</v>
      </c>
      <c r="AZ36" t="str">
        <f t="shared" si="56"/>
        <v>Yes</v>
      </c>
      <c r="BB36" s="37">
        <f t="shared" si="57"/>
        <v>-0.5</v>
      </c>
      <c r="BC36" s="37">
        <f t="shared" si="58"/>
        <v>-2</v>
      </c>
      <c r="BD36" s="37">
        <f t="shared" si="59"/>
        <v>-2</v>
      </c>
      <c r="BE36" s="37">
        <f t="shared" si="60"/>
        <v>-0.5</v>
      </c>
      <c r="BF36" s="13" cm="1">
        <f t="array" ref="BF36">SUMPRODUCT((1/COUNTIFS($A$3:$A36,$A$3:$A36,$H$3:$H36,$H$3:$H36,$I$3:$I36,$I$3:$I36)))</f>
        <v>15</v>
      </c>
      <c r="BG36" s="13">
        <v>0</v>
      </c>
      <c r="BH36" s="12">
        <f t="shared" si="29"/>
        <v>0</v>
      </c>
    </row>
    <row r="37" spans="1:60" x14ac:dyDescent="0.2">
      <c r="A37" s="91">
        <v>46270</v>
      </c>
      <c r="C37" s="37">
        <v>11.18</v>
      </c>
      <c r="D37" s="13" t="s">
        <v>205</v>
      </c>
      <c r="E37" s="13" t="s">
        <v>142</v>
      </c>
      <c r="H37" t="s">
        <v>141</v>
      </c>
      <c r="I37" s="13">
        <v>6</v>
      </c>
      <c r="J37" s="13">
        <v>11</v>
      </c>
      <c r="K37" s="92" t="s">
        <v>181</v>
      </c>
      <c r="L37" s="37">
        <v>0.5</v>
      </c>
      <c r="M37" s="37">
        <v>12.5</v>
      </c>
      <c r="N37" s="37">
        <v>18</v>
      </c>
      <c r="O37" s="37" t="s">
        <v>17</v>
      </c>
      <c r="Q37" s="13" t="s">
        <v>4</v>
      </c>
      <c r="R37" s="37">
        <v>16.64</v>
      </c>
      <c r="S37" s="13">
        <v>3</v>
      </c>
      <c r="T37" s="38" t="str">
        <f t="shared" si="5"/>
        <v>0.00</v>
      </c>
      <c r="U37" s="38">
        <f t="shared" si="18"/>
        <v>-0.5</v>
      </c>
      <c r="V37" s="38">
        <f t="shared" si="19"/>
        <v>-17.5</v>
      </c>
      <c r="W37" s="38">
        <f t="shared" si="20"/>
        <v>17.5</v>
      </c>
      <c r="X37" s="39">
        <f t="shared" si="21"/>
        <v>-1</v>
      </c>
      <c r="Y37" s="40">
        <f t="shared" si="22"/>
        <v>-0.17499999999999999</v>
      </c>
      <c r="Z37" s="41">
        <f t="shared" si="23"/>
        <v>-1750</v>
      </c>
      <c r="AA37" s="13" t="s">
        <v>57</v>
      </c>
      <c r="AT37" s="37">
        <v>15.4</v>
      </c>
      <c r="AU37" s="37">
        <v>13</v>
      </c>
      <c r="AV37" s="10">
        <f t="shared" si="12"/>
        <v>8.5</v>
      </c>
      <c r="AW37" s="10">
        <f t="shared" si="55"/>
        <v>16.64</v>
      </c>
      <c r="AZ37" t="str">
        <f t="shared" si="56"/>
        <v>Yes</v>
      </c>
      <c r="BB37" s="37">
        <f t="shared" si="57"/>
        <v>-0.5</v>
      </c>
      <c r="BC37" s="37">
        <f t="shared" si="58"/>
        <v>-2</v>
      </c>
      <c r="BD37" s="37">
        <f t="shared" si="59"/>
        <v>-2</v>
      </c>
      <c r="BE37" s="37">
        <f t="shared" si="60"/>
        <v>-0.5</v>
      </c>
      <c r="BF37" s="13" cm="1">
        <f t="array" ref="BF37">SUMPRODUCT((1/COUNTIFS($A$3:$A37,$A$3:$A37,$H$3:$H37,$H$3:$H37,$I$3:$I37,$I$3:$I37)))</f>
        <v>15.000000000000002</v>
      </c>
      <c r="BG37" s="13">
        <v>0</v>
      </c>
      <c r="BH37" s="12">
        <f t="shared" si="29"/>
        <v>0</v>
      </c>
    </row>
    <row r="38" spans="1:60" x14ac:dyDescent="0.2">
      <c r="A38" s="91">
        <v>46270</v>
      </c>
      <c r="C38" s="37">
        <v>11.18</v>
      </c>
      <c r="D38" s="13" t="s">
        <v>205</v>
      </c>
      <c r="E38" s="13" t="s">
        <v>142</v>
      </c>
      <c r="H38" t="s">
        <v>141</v>
      </c>
      <c r="I38" s="13">
        <v>6</v>
      </c>
      <c r="J38" s="13">
        <v>19</v>
      </c>
      <c r="K38" t="s">
        <v>182</v>
      </c>
      <c r="L38" s="37">
        <v>0.5</v>
      </c>
      <c r="M38" s="37">
        <v>12</v>
      </c>
      <c r="N38" s="37">
        <v>13</v>
      </c>
      <c r="O38" s="37" t="s">
        <v>17</v>
      </c>
      <c r="Q38" s="13" t="s">
        <v>4</v>
      </c>
      <c r="R38" s="37">
        <v>12.040000000000001</v>
      </c>
      <c r="S38" s="100" t="s">
        <v>136</v>
      </c>
      <c r="T38" s="38" t="str">
        <f t="shared" si="5"/>
        <v>0.00</v>
      </c>
      <c r="U38" s="38">
        <f t="shared" si="18"/>
        <v>-0.5</v>
      </c>
      <c r="V38" s="38">
        <f t="shared" si="19"/>
        <v>-18</v>
      </c>
      <c r="W38" s="38">
        <f t="shared" si="20"/>
        <v>18</v>
      </c>
      <c r="X38" s="39">
        <f t="shared" si="21"/>
        <v>-1</v>
      </c>
      <c r="Y38" s="40">
        <f t="shared" si="22"/>
        <v>-0.18</v>
      </c>
      <c r="Z38" s="41">
        <f t="shared" si="23"/>
        <v>-1800</v>
      </c>
      <c r="AA38" s="13" t="s">
        <v>57</v>
      </c>
      <c r="AT38" s="37">
        <v>10.8</v>
      </c>
      <c r="AU38" s="37">
        <v>9.5</v>
      </c>
      <c r="AV38" s="10">
        <f t="shared" si="12"/>
        <v>6</v>
      </c>
      <c r="AW38" s="10">
        <f t="shared" si="55"/>
        <v>12.040000000000001</v>
      </c>
      <c r="AZ38" t="str">
        <f t="shared" si="56"/>
        <v>Yes</v>
      </c>
      <c r="BB38" s="37">
        <f t="shared" si="57"/>
        <v>-0.5</v>
      </c>
      <c r="BC38" s="37">
        <f t="shared" si="58"/>
        <v>-2</v>
      </c>
      <c r="BD38" s="37">
        <f t="shared" si="59"/>
        <v>-2</v>
      </c>
      <c r="BE38" s="37">
        <f t="shared" si="60"/>
        <v>-0.5</v>
      </c>
      <c r="BF38" s="13" cm="1">
        <f t="array" ref="BF38">SUMPRODUCT((1/COUNTIFS($A$3:$A38,$A$3:$A38,$H$3:$H38,$H$3:$H38,$I$3:$I38,$I$3:$I38)))</f>
        <v>15</v>
      </c>
      <c r="BG38" s="13">
        <v>0</v>
      </c>
      <c r="BH38" s="12">
        <f t="shared" si="29"/>
        <v>0</v>
      </c>
    </row>
    <row r="39" spans="1:60" x14ac:dyDescent="0.2">
      <c r="A39" s="91">
        <v>46270</v>
      </c>
      <c r="C39" s="37">
        <v>11.18</v>
      </c>
      <c r="D39" s="13" t="s">
        <v>205</v>
      </c>
      <c r="E39" s="13" t="s">
        <v>134</v>
      </c>
      <c r="H39" t="s">
        <v>138</v>
      </c>
      <c r="I39" s="13">
        <v>6</v>
      </c>
      <c r="J39" s="13">
        <v>4</v>
      </c>
      <c r="K39" s="98" t="s">
        <v>183</v>
      </c>
      <c r="L39" s="37">
        <v>0.5</v>
      </c>
      <c r="M39" s="37">
        <v>18</v>
      </c>
      <c r="N39" s="37">
        <v>44.06</v>
      </c>
      <c r="O39" s="37" t="s">
        <v>17</v>
      </c>
      <c r="Q39" s="13" t="s">
        <v>4</v>
      </c>
      <c r="R39" s="37">
        <v>40.615200000000002</v>
      </c>
      <c r="S39" s="13">
        <v>4</v>
      </c>
      <c r="T39" s="38" t="str">
        <f t="shared" si="5"/>
        <v>0.00</v>
      </c>
      <c r="U39" s="38">
        <f t="shared" si="18"/>
        <v>-0.5</v>
      </c>
      <c r="V39" s="38">
        <f t="shared" si="19"/>
        <v>-18.5</v>
      </c>
      <c r="W39" s="38">
        <f t="shared" si="20"/>
        <v>18.5</v>
      </c>
      <c r="X39" s="39">
        <f t="shared" si="21"/>
        <v>-1</v>
      </c>
      <c r="Y39" s="40">
        <f t="shared" si="22"/>
        <v>-0.185</v>
      </c>
      <c r="Z39" s="41">
        <f t="shared" si="23"/>
        <v>-1850</v>
      </c>
      <c r="AA39" s="13" t="s">
        <v>57</v>
      </c>
      <c r="AT39" s="37">
        <v>26</v>
      </c>
      <c r="AU39" s="37">
        <v>26</v>
      </c>
      <c r="AV39" s="10">
        <f t="shared" si="12"/>
        <v>21.53</v>
      </c>
      <c r="AW39" s="10">
        <f t="shared" ref="AW39:AW41" si="61">0.92*(N39-1)+1</f>
        <v>40.615200000000002</v>
      </c>
      <c r="AZ39" t="str">
        <f t="shared" ref="AZ39:AZ41" si="62">IF(N39&gt;=M39,"Yes","No")</f>
        <v>Yes</v>
      </c>
      <c r="BB39" s="37">
        <f t="shared" ref="BB39:BB40" si="63">IF(AA39="W",
   L39*(N39-1),
   -L39
)</f>
        <v>-0.5</v>
      </c>
      <c r="BC39" s="37">
        <f t="shared" si="58"/>
        <v>-1</v>
      </c>
      <c r="BD39" s="37">
        <f t="shared" ref="BD39:BD40" si="64">IF(BC39&gt;0, BC39*0.92, BC39)</f>
        <v>-1</v>
      </c>
      <c r="BE39" s="37">
        <f t="shared" ref="BE39:BE40" si="65">IF(
  BC39&gt;0,
  IF(
    AA39="W",
    BB39 - (BC39 - BD39),
    BB39
  ),
  BB39
)</f>
        <v>-0.5</v>
      </c>
      <c r="BF39" s="13" cm="1">
        <f t="array" ref="BF39">SUMPRODUCT((1/COUNTIFS($A$3:$A39,$A$3:$A39,$H$3:$H39,$H$3:$H39,$I$3:$I39,$I$3:$I39)))</f>
        <v>16</v>
      </c>
      <c r="BG39" s="13">
        <v>0</v>
      </c>
      <c r="BH39" s="12">
        <f t="shared" si="29"/>
        <v>0</v>
      </c>
    </row>
    <row r="40" spans="1:60" x14ac:dyDescent="0.2">
      <c r="A40" s="91">
        <v>46270</v>
      </c>
      <c r="C40" s="37">
        <v>11.18</v>
      </c>
      <c r="D40" s="13" t="s">
        <v>205</v>
      </c>
      <c r="E40" s="13" t="s">
        <v>134</v>
      </c>
      <c r="H40" t="s">
        <v>138</v>
      </c>
      <c r="I40" s="13">
        <v>6</v>
      </c>
      <c r="J40" s="13">
        <v>7</v>
      </c>
      <c r="K40" t="s">
        <v>185</v>
      </c>
      <c r="L40" s="37">
        <v>0.5</v>
      </c>
      <c r="M40" s="37">
        <v>29</v>
      </c>
      <c r="N40" s="37">
        <v>44.83</v>
      </c>
      <c r="O40" s="37" t="s">
        <v>17</v>
      </c>
      <c r="Q40" s="13" t="s">
        <v>4</v>
      </c>
      <c r="R40" s="37">
        <v>41.323599999999999</v>
      </c>
      <c r="S40" s="13" t="s">
        <v>136</v>
      </c>
      <c r="T40" s="38" t="str">
        <f t="shared" si="5"/>
        <v>0.00</v>
      </c>
      <c r="U40" s="38">
        <f t="shared" si="18"/>
        <v>-0.5</v>
      </c>
      <c r="V40" s="38">
        <f t="shared" si="19"/>
        <v>-19</v>
      </c>
      <c r="W40" s="38">
        <f t="shared" si="20"/>
        <v>19</v>
      </c>
      <c r="X40" s="39">
        <f t="shared" si="21"/>
        <v>-1</v>
      </c>
      <c r="Y40" s="40">
        <f t="shared" si="22"/>
        <v>-0.19</v>
      </c>
      <c r="Z40" s="41">
        <f t="shared" si="23"/>
        <v>-1900</v>
      </c>
      <c r="AA40" s="13" t="s">
        <v>57</v>
      </c>
      <c r="AT40" s="37">
        <v>41.7</v>
      </c>
      <c r="AU40" s="37">
        <v>41</v>
      </c>
      <c r="AV40" s="10">
        <f t="shared" si="12"/>
        <v>21.914999999999999</v>
      </c>
      <c r="AW40" s="10">
        <f t="shared" si="61"/>
        <v>41.323599999999999</v>
      </c>
      <c r="AZ40" t="str">
        <f t="shared" si="62"/>
        <v>Yes</v>
      </c>
      <c r="BB40" s="37">
        <f t="shared" si="63"/>
        <v>-0.5</v>
      </c>
      <c r="BC40" s="37">
        <f t="shared" si="58"/>
        <v>-1</v>
      </c>
      <c r="BD40" s="37">
        <f t="shared" si="64"/>
        <v>-1</v>
      </c>
      <c r="BE40" s="37">
        <f t="shared" si="65"/>
        <v>-0.5</v>
      </c>
      <c r="BF40" s="13" cm="1">
        <f t="array" ref="BF40">SUMPRODUCT((1/COUNTIFS($A$3:$A40,$A$3:$A40,$H$3:$H40,$H$3:$H40,$I$3:$I40,$I$3:$I40)))</f>
        <v>16</v>
      </c>
      <c r="BG40" s="13">
        <v>0</v>
      </c>
      <c r="BH40" s="12">
        <f t="shared" si="29"/>
        <v>0</v>
      </c>
    </row>
    <row r="41" spans="1:60" x14ac:dyDescent="0.2">
      <c r="A41" s="91">
        <v>46270</v>
      </c>
      <c r="C41" s="37">
        <v>11.18</v>
      </c>
      <c r="D41" s="13" t="s">
        <v>205</v>
      </c>
      <c r="E41" s="13" t="s">
        <v>142</v>
      </c>
      <c r="H41" t="s">
        <v>141</v>
      </c>
      <c r="I41" s="13">
        <v>7</v>
      </c>
      <c r="J41" s="13">
        <v>8</v>
      </c>
      <c r="K41" t="s">
        <v>187</v>
      </c>
      <c r="L41" s="37">
        <v>0.5</v>
      </c>
      <c r="M41" s="37">
        <v>13.5</v>
      </c>
      <c r="N41" s="37">
        <v>15.5</v>
      </c>
      <c r="O41" s="37" t="s">
        <v>17</v>
      </c>
      <c r="Q41" s="13" t="s">
        <v>4</v>
      </c>
      <c r="R41" s="37">
        <v>14.34</v>
      </c>
      <c r="S41" s="13" t="s">
        <v>136</v>
      </c>
      <c r="T41" s="38" t="str">
        <f t="shared" si="5"/>
        <v>0.00</v>
      </c>
      <c r="U41" s="38">
        <f t="shared" si="18"/>
        <v>-0.5</v>
      </c>
      <c r="V41" s="38">
        <f t="shared" si="19"/>
        <v>-19.5</v>
      </c>
      <c r="W41" s="38">
        <f t="shared" si="20"/>
        <v>19.5</v>
      </c>
      <c r="X41" s="39">
        <f t="shared" si="21"/>
        <v>-1</v>
      </c>
      <c r="Y41" s="40">
        <f t="shared" si="22"/>
        <v>-0.19500000000000001</v>
      </c>
      <c r="Z41" s="41">
        <f t="shared" si="23"/>
        <v>-1950</v>
      </c>
      <c r="AA41" s="13" t="s">
        <v>57</v>
      </c>
      <c r="AT41" s="37">
        <v>12.2</v>
      </c>
      <c r="AU41" s="37">
        <v>12</v>
      </c>
      <c r="AV41" s="10">
        <f t="shared" si="12"/>
        <v>7.25</v>
      </c>
      <c r="AW41" s="10">
        <f t="shared" si="61"/>
        <v>14.34</v>
      </c>
      <c r="AZ41" t="str">
        <f t="shared" si="62"/>
        <v>Yes</v>
      </c>
      <c r="BB41" s="37">
        <f t="shared" ref="BB41:BB43" si="66">IF(AA41="W",
   L41*(N41-1),
   -L41
)</f>
        <v>-0.5</v>
      </c>
      <c r="BC41" s="37">
        <f t="shared" si="58"/>
        <v>-0.5</v>
      </c>
      <c r="BD41" s="37">
        <f t="shared" ref="BD41:BD43" si="67">IF(BC41&gt;0, BC41*0.92, BC41)</f>
        <v>-0.5</v>
      </c>
      <c r="BE41" s="37">
        <f t="shared" ref="BE41:BE43" si="68">IF(
  BC41&gt;0,
  IF(
    AA41="W",
    BB41 - (BC41 - BD41),
    BB41
  ),
  BB41
)</f>
        <v>-0.5</v>
      </c>
      <c r="BF41" s="13" cm="1">
        <f t="array" ref="BF41">SUMPRODUCT((1/COUNTIFS($A$3:$A41,$A$3:$A41,$H$3:$H41,$H$3:$H41,$I$3:$I41,$I$3:$I41)))</f>
        <v>17</v>
      </c>
      <c r="BG41" s="13">
        <v>0</v>
      </c>
      <c r="BH41" s="12">
        <f t="shared" si="29"/>
        <v>0</v>
      </c>
    </row>
    <row r="42" spans="1:60" x14ac:dyDescent="0.2">
      <c r="A42" s="91">
        <v>46270</v>
      </c>
      <c r="C42" s="37">
        <v>11.18</v>
      </c>
      <c r="D42" s="13" t="s">
        <v>205</v>
      </c>
      <c r="E42" s="13" t="s">
        <v>134</v>
      </c>
      <c r="H42" t="s">
        <v>138</v>
      </c>
      <c r="I42" s="13">
        <v>7</v>
      </c>
      <c r="J42" s="13">
        <v>3</v>
      </c>
      <c r="K42" s="92" t="s">
        <v>189</v>
      </c>
      <c r="L42" s="37">
        <v>0.5</v>
      </c>
      <c r="M42" s="37">
        <v>12.5</v>
      </c>
      <c r="N42" s="37">
        <v>14.45</v>
      </c>
      <c r="O42" s="37" t="s">
        <v>17</v>
      </c>
      <c r="Q42" s="13" t="s">
        <v>4</v>
      </c>
      <c r="R42" s="37">
        <v>13.374000000000001</v>
      </c>
      <c r="S42" s="13">
        <v>3</v>
      </c>
      <c r="T42" s="38" t="str">
        <f t="shared" si="5"/>
        <v>0.00</v>
      </c>
      <c r="U42" s="38">
        <f t="shared" si="18"/>
        <v>-0.5</v>
      </c>
      <c r="V42" s="38">
        <f t="shared" si="19"/>
        <v>-20</v>
      </c>
      <c r="W42" s="38">
        <f t="shared" si="20"/>
        <v>20</v>
      </c>
      <c r="X42" s="39">
        <f t="shared" si="21"/>
        <v>-1</v>
      </c>
      <c r="Y42" s="40">
        <f t="shared" si="22"/>
        <v>-0.2</v>
      </c>
      <c r="Z42" s="41">
        <f t="shared" si="23"/>
        <v>-2000</v>
      </c>
      <c r="AA42" s="13" t="s">
        <v>57</v>
      </c>
      <c r="AT42" s="37">
        <v>12.1</v>
      </c>
      <c r="AU42" s="37">
        <v>12</v>
      </c>
      <c r="AV42" s="10">
        <f t="shared" si="12"/>
        <v>6.7249999999999996</v>
      </c>
      <c r="AW42" s="10">
        <f t="shared" ref="AW42:AW45" si="69">0.92*(N42-1)+1</f>
        <v>13.374000000000001</v>
      </c>
      <c r="AZ42" t="str">
        <f t="shared" ref="AZ42:AZ45" si="70">IF(N42&gt;=M42,"Yes","No")</f>
        <v>Yes</v>
      </c>
      <c r="BB42" s="37">
        <f t="shared" si="66"/>
        <v>-0.5</v>
      </c>
      <c r="BC42" s="37">
        <f t="shared" si="58"/>
        <v>-1</v>
      </c>
      <c r="BD42" s="37">
        <f t="shared" si="67"/>
        <v>-1</v>
      </c>
      <c r="BE42" s="37">
        <f t="shared" si="68"/>
        <v>-0.5</v>
      </c>
      <c r="BF42" s="13" cm="1">
        <f t="array" ref="BF42">SUMPRODUCT((1/COUNTIFS($A$3:$A42,$A$3:$A42,$H$3:$H42,$H$3:$H42,$I$3:$I42,$I$3:$I42)))</f>
        <v>18</v>
      </c>
      <c r="BG42" s="13">
        <v>0</v>
      </c>
      <c r="BH42" s="12">
        <f t="shared" si="29"/>
        <v>0</v>
      </c>
    </row>
    <row r="43" spans="1:60" x14ac:dyDescent="0.2">
      <c r="A43" s="91">
        <v>46270</v>
      </c>
      <c r="C43" s="37">
        <v>11.18</v>
      </c>
      <c r="D43" s="13" t="s">
        <v>205</v>
      </c>
      <c r="E43" s="13" t="s">
        <v>134</v>
      </c>
      <c r="H43" t="s">
        <v>138</v>
      </c>
      <c r="I43" s="13">
        <v>7</v>
      </c>
      <c r="J43" s="13">
        <v>9</v>
      </c>
      <c r="K43" s="99" t="s">
        <v>190</v>
      </c>
      <c r="L43" s="37">
        <v>0.5</v>
      </c>
      <c r="M43" s="37">
        <v>15.5</v>
      </c>
      <c r="N43" s="37">
        <v>24</v>
      </c>
      <c r="O43" s="37" t="s">
        <v>17</v>
      </c>
      <c r="Q43" s="13" t="s">
        <v>4</v>
      </c>
      <c r="R43" s="37">
        <v>22.16</v>
      </c>
      <c r="S43" s="13">
        <v>2</v>
      </c>
      <c r="T43" s="38" t="str">
        <f t="shared" si="5"/>
        <v>0.00</v>
      </c>
      <c r="U43" s="38">
        <f t="shared" si="18"/>
        <v>-0.5</v>
      </c>
      <c r="V43" s="38">
        <f t="shared" si="19"/>
        <v>-20.5</v>
      </c>
      <c r="W43" s="38">
        <f t="shared" si="20"/>
        <v>20.5</v>
      </c>
      <c r="X43" s="39">
        <f t="shared" si="21"/>
        <v>-1</v>
      </c>
      <c r="Y43" s="40">
        <f t="shared" si="22"/>
        <v>-0.20499999999999999</v>
      </c>
      <c r="Z43" s="41">
        <f t="shared" si="23"/>
        <v>-2050</v>
      </c>
      <c r="AA43" s="13" t="s">
        <v>57</v>
      </c>
      <c r="AT43" s="37">
        <v>16</v>
      </c>
      <c r="AU43" s="37">
        <v>16</v>
      </c>
      <c r="AV43" s="10">
        <f t="shared" si="12"/>
        <v>11.5</v>
      </c>
      <c r="AW43" s="10">
        <f t="shared" si="69"/>
        <v>22.16</v>
      </c>
      <c r="AZ43" t="str">
        <f t="shared" si="70"/>
        <v>Yes</v>
      </c>
      <c r="BB43" s="37">
        <f t="shared" si="66"/>
        <v>-0.5</v>
      </c>
      <c r="BC43" s="37">
        <f t="shared" si="58"/>
        <v>-1</v>
      </c>
      <c r="BD43" s="37">
        <f t="shared" si="67"/>
        <v>-1</v>
      </c>
      <c r="BE43" s="37">
        <f t="shared" si="68"/>
        <v>-0.5</v>
      </c>
      <c r="BF43" s="13" cm="1">
        <f t="array" ref="BF43">SUMPRODUCT((1/COUNTIFS($A$3:$A43,$A$3:$A43,$H$3:$H43,$H$3:$H43,$I$3:$I43,$I$3:$I43)))</f>
        <v>18</v>
      </c>
      <c r="BG43" s="13">
        <v>0</v>
      </c>
      <c r="BH43" s="12">
        <f t="shared" si="29"/>
        <v>0</v>
      </c>
    </row>
    <row r="44" spans="1:60" x14ac:dyDescent="0.2">
      <c r="A44" s="91">
        <v>46270</v>
      </c>
      <c r="C44" s="37">
        <v>11.18</v>
      </c>
      <c r="D44" s="13" t="s">
        <v>205</v>
      </c>
      <c r="E44" s="13" t="s">
        <v>142</v>
      </c>
      <c r="H44" t="s">
        <v>141</v>
      </c>
      <c r="I44" s="13">
        <v>8</v>
      </c>
      <c r="J44" s="13">
        <v>5</v>
      </c>
      <c r="K44" t="s">
        <v>191</v>
      </c>
      <c r="L44" s="37">
        <v>0.5</v>
      </c>
      <c r="M44" s="37">
        <v>9.4</v>
      </c>
      <c r="N44" s="37">
        <v>13.53</v>
      </c>
      <c r="O44" s="37" t="s">
        <v>17</v>
      </c>
      <c r="Q44" s="13" t="s">
        <v>4</v>
      </c>
      <c r="R44" s="37">
        <v>12.5276</v>
      </c>
      <c r="S44" s="13" t="s">
        <v>136</v>
      </c>
      <c r="T44" s="38" t="str">
        <f t="shared" si="5"/>
        <v>0.00</v>
      </c>
      <c r="U44" s="38">
        <f t="shared" si="18"/>
        <v>-0.5</v>
      </c>
      <c r="V44" s="38">
        <f t="shared" si="19"/>
        <v>-21</v>
      </c>
      <c r="W44" s="38">
        <f t="shared" si="20"/>
        <v>21</v>
      </c>
      <c r="X44" s="39">
        <f t="shared" si="21"/>
        <v>-1</v>
      </c>
      <c r="Y44" s="40">
        <f t="shared" si="22"/>
        <v>-0.21</v>
      </c>
      <c r="Z44" s="41">
        <f t="shared" si="23"/>
        <v>-2100</v>
      </c>
      <c r="AA44" s="13" t="s">
        <v>57</v>
      </c>
      <c r="AT44" s="37">
        <v>10.199999999999999</v>
      </c>
      <c r="AU44" s="37">
        <v>10</v>
      </c>
      <c r="AV44" s="10">
        <f t="shared" si="12"/>
        <v>6.2649999999999997</v>
      </c>
      <c r="AW44" s="10">
        <f t="shared" si="69"/>
        <v>12.5276</v>
      </c>
      <c r="AZ44" t="str">
        <f t="shared" si="70"/>
        <v>Yes</v>
      </c>
      <c r="BB44" s="37">
        <f t="shared" ref="BB44" si="71">IF(AA44="W",
   L44*(N44-1),
   -L44
)</f>
        <v>-0.5</v>
      </c>
      <c r="BC44" s="37">
        <f t="shared" si="58"/>
        <v>-0.5</v>
      </c>
      <c r="BD44" s="37">
        <f t="shared" ref="BD44" si="72">IF(BC44&gt;0, BC44*0.92, BC44)</f>
        <v>-0.5</v>
      </c>
      <c r="BE44" s="37">
        <f t="shared" ref="BE44" si="73">IF(
  BC44&gt;0,
  IF(
    AA44="W",
    BB44 - (BC44 - BD44),
    BB44
  ),
  BB44
)</f>
        <v>-0.5</v>
      </c>
      <c r="BF44" s="13" cm="1">
        <f t="array" ref="BF44">SUMPRODUCT((1/COUNTIFS($A$3:$A44,$A$3:$A44,$H$3:$H44,$H$3:$H44,$I$3:$I44,$I$3:$I44)))</f>
        <v>19</v>
      </c>
      <c r="BG44" s="13">
        <v>0</v>
      </c>
      <c r="BH44" s="12">
        <f t="shared" si="29"/>
        <v>0</v>
      </c>
    </row>
    <row r="45" spans="1:60" x14ac:dyDescent="0.2">
      <c r="A45" s="91">
        <v>46270</v>
      </c>
      <c r="C45" s="37">
        <v>11.18</v>
      </c>
      <c r="D45" s="13" t="s">
        <v>205</v>
      </c>
      <c r="E45" s="13" t="s">
        <v>134</v>
      </c>
      <c r="H45" t="s">
        <v>138</v>
      </c>
      <c r="I45" s="13">
        <v>8</v>
      </c>
      <c r="J45" s="13">
        <v>8</v>
      </c>
      <c r="K45" s="98" t="s">
        <v>192</v>
      </c>
      <c r="L45" s="37">
        <v>0.5</v>
      </c>
      <c r="M45" s="37">
        <v>29</v>
      </c>
      <c r="N45" s="37">
        <v>32</v>
      </c>
      <c r="O45" s="37" t="s">
        <v>17</v>
      </c>
      <c r="Q45" s="13" t="s">
        <v>4</v>
      </c>
      <c r="R45" s="37">
        <v>29.52</v>
      </c>
      <c r="S45" s="13">
        <v>4</v>
      </c>
      <c r="T45" s="38" t="str">
        <f t="shared" si="5"/>
        <v>0.00</v>
      </c>
      <c r="U45" s="38">
        <f t="shared" si="18"/>
        <v>-0.5</v>
      </c>
      <c r="V45" s="38">
        <f t="shared" si="19"/>
        <v>-21.5</v>
      </c>
      <c r="W45" s="38">
        <f t="shared" si="20"/>
        <v>21.5</v>
      </c>
      <c r="X45" s="39">
        <f t="shared" si="21"/>
        <v>-1</v>
      </c>
      <c r="Y45" s="40">
        <f t="shared" si="22"/>
        <v>-0.215</v>
      </c>
      <c r="Z45" s="41">
        <f t="shared" si="23"/>
        <v>-2150</v>
      </c>
      <c r="AA45" s="13" t="s">
        <v>57</v>
      </c>
      <c r="AT45" s="37">
        <v>31</v>
      </c>
      <c r="AU45" s="37">
        <v>31</v>
      </c>
      <c r="AV45" s="10">
        <f t="shared" si="12"/>
        <v>15.5</v>
      </c>
      <c r="AW45" s="10">
        <f t="shared" si="69"/>
        <v>29.52</v>
      </c>
      <c r="AZ45" t="str">
        <f t="shared" si="70"/>
        <v>Yes</v>
      </c>
      <c r="BB45" s="37">
        <f t="shared" ref="BB45" si="74">IF(AA45="W",
   L45*(N45-1),
   -L45
)</f>
        <v>-0.5</v>
      </c>
      <c r="BC45" s="37">
        <f t="shared" si="58"/>
        <v>-0.5</v>
      </c>
      <c r="BD45" s="37">
        <f t="shared" ref="BD45" si="75">IF(BC45&gt;0, BC45*0.92, BC45)</f>
        <v>-0.5</v>
      </c>
      <c r="BE45" s="37">
        <f t="shared" ref="BE45" si="76">IF(
  BC45&gt;0,
  IF(
    AA45="W",
    BB45 - (BC45 - BD45),
    BB45
  ),
  BB45
)</f>
        <v>-0.5</v>
      </c>
      <c r="BF45" s="13" cm="1">
        <f t="array" ref="BF45">SUMPRODUCT((1/COUNTIFS($A$3:$A45,$A$3:$A45,$H$3:$H45,$H$3:$H45,$I$3:$I45,$I$3:$I45)))</f>
        <v>20</v>
      </c>
      <c r="BG45" s="13">
        <v>0</v>
      </c>
      <c r="BH45" s="12">
        <f t="shared" si="29"/>
        <v>0</v>
      </c>
    </row>
    <row r="46" spans="1:60" x14ac:dyDescent="0.2">
      <c r="A46" s="91">
        <v>46270</v>
      </c>
      <c r="C46" s="37">
        <v>11.18</v>
      </c>
      <c r="D46" s="13" t="s">
        <v>205</v>
      </c>
      <c r="E46" s="13" t="s">
        <v>142</v>
      </c>
      <c r="H46" t="s">
        <v>141</v>
      </c>
      <c r="I46" s="13">
        <v>9</v>
      </c>
      <c r="J46" s="13">
        <v>5</v>
      </c>
      <c r="K46" s="99" t="s">
        <v>193</v>
      </c>
      <c r="L46" s="37">
        <v>0.5</v>
      </c>
      <c r="M46" s="37">
        <v>23</v>
      </c>
      <c r="N46" s="37">
        <v>33.6</v>
      </c>
      <c r="O46" s="37" t="s">
        <v>17</v>
      </c>
      <c r="Q46" s="13" t="s">
        <v>4</v>
      </c>
      <c r="R46" s="37">
        <v>30.992000000000001</v>
      </c>
      <c r="S46" s="13">
        <v>2</v>
      </c>
      <c r="T46" s="38" t="str">
        <f t="shared" si="5"/>
        <v>0.00</v>
      </c>
      <c r="U46" s="38">
        <f t="shared" si="18"/>
        <v>-0.5</v>
      </c>
      <c r="V46" s="38">
        <f t="shared" si="19"/>
        <v>-22</v>
      </c>
      <c r="W46" s="38">
        <f t="shared" si="20"/>
        <v>22</v>
      </c>
      <c r="X46" s="39">
        <f t="shared" si="21"/>
        <v>-1</v>
      </c>
      <c r="Y46" s="40">
        <f t="shared" si="22"/>
        <v>-0.22</v>
      </c>
      <c r="Z46" s="41">
        <f t="shared" si="23"/>
        <v>-2200</v>
      </c>
      <c r="AA46" s="13" t="s">
        <v>57</v>
      </c>
      <c r="AT46" s="37">
        <v>26</v>
      </c>
      <c r="AU46" s="37">
        <v>31</v>
      </c>
      <c r="AV46" s="10">
        <f t="shared" si="12"/>
        <v>16.3</v>
      </c>
      <c r="AW46" s="10">
        <f t="shared" ref="AW46" si="77">0.92*(N46-1)+1</f>
        <v>30.992000000000001</v>
      </c>
      <c r="AZ46" t="str">
        <f t="shared" ref="AZ46" si="78">IF(N46&gt;=M46,"Yes","No")</f>
        <v>Yes</v>
      </c>
      <c r="BB46" s="37">
        <f t="shared" ref="BB46" si="79">IF(AA46="W",
   L46*(N46-1),
   -L46
)</f>
        <v>-0.5</v>
      </c>
      <c r="BC46" s="37">
        <f t="shared" si="58"/>
        <v>-0.5</v>
      </c>
      <c r="BD46" s="37">
        <f t="shared" ref="BD46" si="80">IF(BC46&gt;0, BC46*0.92, BC46)</f>
        <v>-0.5</v>
      </c>
      <c r="BE46" s="37">
        <f t="shared" ref="BE46" si="81">IF(
  BC46&gt;0,
  IF(
    AA46="W",
    BB46 - (BC46 - BD46),
    BB46
  ),
  BB46
)</f>
        <v>-0.5</v>
      </c>
      <c r="BF46" s="13" cm="1">
        <f t="array" ref="BF46">SUMPRODUCT((1/COUNTIFS($A$3:$A46,$A$3:$A46,$H$3:$H46,$H$3:$H46,$I$3:$I46,$I$3:$I46)))</f>
        <v>21</v>
      </c>
      <c r="BG46" s="13">
        <v>0</v>
      </c>
      <c r="BH46" s="12">
        <f t="shared" si="29"/>
        <v>0</v>
      </c>
    </row>
    <row r="47" spans="1:60" x14ac:dyDescent="0.2">
      <c r="A47" s="91">
        <v>46270</v>
      </c>
      <c r="C47" s="37">
        <v>11.18</v>
      </c>
      <c r="D47" s="13" t="s">
        <v>205</v>
      </c>
      <c r="E47" s="13" t="s">
        <v>142</v>
      </c>
      <c r="H47" t="s">
        <v>141</v>
      </c>
      <c r="I47" s="13">
        <v>10</v>
      </c>
      <c r="J47" s="13">
        <v>1</v>
      </c>
      <c r="K47" t="s">
        <v>196</v>
      </c>
      <c r="L47" s="37">
        <v>0.5</v>
      </c>
      <c r="M47" s="37">
        <v>21</v>
      </c>
      <c r="N47" s="37">
        <v>33.909999999999997</v>
      </c>
      <c r="O47" s="37" t="s">
        <v>17</v>
      </c>
      <c r="Q47" s="13" t="s">
        <v>4</v>
      </c>
      <c r="R47" s="37">
        <v>31.277199999999997</v>
      </c>
      <c r="S47" s="13" t="s">
        <v>136</v>
      </c>
      <c r="T47" s="38" t="str">
        <f t="shared" si="5"/>
        <v>0.00</v>
      </c>
      <c r="U47" s="38">
        <f t="shared" si="18"/>
        <v>-0.5</v>
      </c>
      <c r="V47" s="38">
        <f t="shared" si="19"/>
        <v>-22.5</v>
      </c>
      <c r="W47" s="38">
        <f t="shared" si="20"/>
        <v>22.5</v>
      </c>
      <c r="X47" s="39">
        <f t="shared" si="21"/>
        <v>-1</v>
      </c>
      <c r="Y47" s="40">
        <f t="shared" si="22"/>
        <v>-0.22500000000000001</v>
      </c>
      <c r="Z47" s="41">
        <f t="shared" si="23"/>
        <v>-2250</v>
      </c>
      <c r="AA47" s="13" t="s">
        <v>57</v>
      </c>
      <c r="AT47" s="37">
        <v>26.8</v>
      </c>
      <c r="AU47" s="37">
        <v>21</v>
      </c>
      <c r="AV47" s="10">
        <f t="shared" si="12"/>
        <v>16.454999999999998</v>
      </c>
      <c r="AW47" s="10">
        <f t="shared" ref="AW47:AW49" si="82">0.92*(N47-1)+1</f>
        <v>31.277199999999997</v>
      </c>
      <c r="AZ47" t="str">
        <f t="shared" ref="AZ47:AZ49" si="83">IF(N47&gt;=M47,"Yes","No")</f>
        <v>Yes</v>
      </c>
      <c r="BB47" s="37">
        <f t="shared" ref="BB47:BB49" si="84">IF(AA47="W",
   L47*(N47-1),
   -L47
)</f>
        <v>-0.5</v>
      </c>
      <c r="BC47" s="37">
        <f t="shared" si="58"/>
        <v>-1.5</v>
      </c>
      <c r="BD47" s="37">
        <f t="shared" ref="BD47:BD49" si="85">IF(BC47&gt;0, BC47*0.92, BC47)</f>
        <v>-1.5</v>
      </c>
      <c r="BE47" s="37">
        <f t="shared" ref="BE47:BE49" si="86">IF(
  BC47&gt;0,
  IF(
    AA47="W",
    BB47 - (BC47 - BD47),
    BB47
  ),
  BB47
)</f>
        <v>-0.5</v>
      </c>
      <c r="BF47" s="13" cm="1">
        <f t="array" ref="BF47">SUMPRODUCT((1/COUNTIFS($A$3:$A47,$A$3:$A47,$H$3:$H47,$H$3:$H47,$I$3:$I47,$I$3:$I47)))</f>
        <v>22</v>
      </c>
      <c r="BG47" s="13">
        <v>0</v>
      </c>
      <c r="BH47" s="12">
        <f t="shared" si="29"/>
        <v>0</v>
      </c>
    </row>
    <row r="48" spans="1:60" x14ac:dyDescent="0.2">
      <c r="A48" s="91">
        <v>46270</v>
      </c>
      <c r="C48" s="37">
        <v>11.18</v>
      </c>
      <c r="D48" s="13" t="s">
        <v>205</v>
      </c>
      <c r="E48" s="13" t="s">
        <v>142</v>
      </c>
      <c r="H48" t="s">
        <v>141</v>
      </c>
      <c r="I48" s="13">
        <v>10</v>
      </c>
      <c r="J48" s="13">
        <v>2</v>
      </c>
      <c r="K48" s="99" t="s">
        <v>197</v>
      </c>
      <c r="L48" s="37">
        <v>0.5</v>
      </c>
      <c r="M48" s="37">
        <v>8.1999999999999993</v>
      </c>
      <c r="N48" s="37">
        <v>12</v>
      </c>
      <c r="O48" s="37" t="s">
        <v>17</v>
      </c>
      <c r="Q48" s="13" t="s">
        <v>4</v>
      </c>
      <c r="R48" s="37">
        <v>11.120000000000001</v>
      </c>
      <c r="S48" s="13">
        <v>2</v>
      </c>
      <c r="T48" s="38" t="str">
        <f t="shared" si="5"/>
        <v>0.00</v>
      </c>
      <c r="U48" s="38">
        <f t="shared" si="18"/>
        <v>-0.5</v>
      </c>
      <c r="V48" s="38">
        <f t="shared" si="19"/>
        <v>-23</v>
      </c>
      <c r="W48" s="38">
        <f t="shared" si="20"/>
        <v>23</v>
      </c>
      <c r="X48" s="39">
        <f t="shared" si="21"/>
        <v>-1</v>
      </c>
      <c r="Y48" s="40">
        <f t="shared" si="22"/>
        <v>-0.23</v>
      </c>
      <c r="Z48" s="41">
        <f t="shared" si="23"/>
        <v>-2300</v>
      </c>
      <c r="AA48" s="13" t="s">
        <v>57</v>
      </c>
      <c r="AT48" s="37">
        <v>9.9</v>
      </c>
      <c r="AU48" s="37">
        <v>9</v>
      </c>
      <c r="AV48" s="10">
        <f t="shared" si="12"/>
        <v>5.5</v>
      </c>
      <c r="AW48" s="10">
        <f t="shared" si="82"/>
        <v>11.120000000000001</v>
      </c>
      <c r="AZ48" t="str">
        <f t="shared" si="83"/>
        <v>Yes</v>
      </c>
      <c r="BB48" s="37">
        <f t="shared" si="84"/>
        <v>-0.5</v>
      </c>
      <c r="BC48" s="37">
        <f t="shared" si="58"/>
        <v>-1.5</v>
      </c>
      <c r="BD48" s="37">
        <f t="shared" si="85"/>
        <v>-1.5</v>
      </c>
      <c r="BE48" s="37">
        <f t="shared" si="86"/>
        <v>-0.5</v>
      </c>
      <c r="BF48" s="13" cm="1">
        <f t="array" ref="BF48">SUMPRODUCT((1/COUNTIFS($A$3:$A48,$A$3:$A48,$H$3:$H48,$H$3:$H48,$I$3:$I48,$I$3:$I48)))</f>
        <v>22</v>
      </c>
      <c r="BG48" s="13">
        <v>0</v>
      </c>
      <c r="BH48" s="12">
        <f t="shared" si="29"/>
        <v>0</v>
      </c>
    </row>
    <row r="49" spans="1:60" x14ac:dyDescent="0.2">
      <c r="A49" s="91">
        <v>46270</v>
      </c>
      <c r="C49" s="37">
        <v>11.18</v>
      </c>
      <c r="D49" s="13" t="s">
        <v>205</v>
      </c>
      <c r="E49" s="13" t="s">
        <v>142</v>
      </c>
      <c r="H49" t="s">
        <v>141</v>
      </c>
      <c r="I49" s="13">
        <v>10</v>
      </c>
      <c r="J49" s="13">
        <v>8</v>
      </c>
      <c r="K49" t="s">
        <v>198</v>
      </c>
      <c r="L49" s="37">
        <v>0.5</v>
      </c>
      <c r="M49" s="37">
        <v>10.5</v>
      </c>
      <c r="N49" s="37">
        <v>11</v>
      </c>
      <c r="O49" s="37" t="s">
        <v>17</v>
      </c>
      <c r="Q49" s="13" t="s">
        <v>4</v>
      </c>
      <c r="R49" s="37">
        <v>10.200000000000001</v>
      </c>
      <c r="S49" s="13" t="s">
        <v>136</v>
      </c>
      <c r="T49" s="38" t="str">
        <f t="shared" si="5"/>
        <v>0.00</v>
      </c>
      <c r="U49" s="38">
        <f t="shared" si="18"/>
        <v>-0.5</v>
      </c>
      <c r="V49" s="38">
        <f t="shared" si="19"/>
        <v>-23.5</v>
      </c>
      <c r="W49" s="38">
        <f t="shared" si="20"/>
        <v>23.5</v>
      </c>
      <c r="X49" s="39">
        <f t="shared" si="21"/>
        <v>-1</v>
      </c>
      <c r="Y49" s="40">
        <f t="shared" si="22"/>
        <v>-0.23499999999999999</v>
      </c>
      <c r="Z49" s="41">
        <f t="shared" si="23"/>
        <v>-2350</v>
      </c>
      <c r="AA49" s="13" t="s">
        <v>57</v>
      </c>
      <c r="AT49" s="37">
        <v>10.1</v>
      </c>
      <c r="AU49" s="37">
        <v>9</v>
      </c>
      <c r="AV49" s="10">
        <f t="shared" si="12"/>
        <v>5</v>
      </c>
      <c r="AW49" s="10">
        <f t="shared" si="82"/>
        <v>10.200000000000001</v>
      </c>
      <c r="AZ49" t="str">
        <f t="shared" si="83"/>
        <v>Yes</v>
      </c>
      <c r="BB49" s="37">
        <f t="shared" si="84"/>
        <v>-0.5</v>
      </c>
      <c r="BC49" s="37">
        <f t="shared" si="58"/>
        <v>-1.5</v>
      </c>
      <c r="BD49" s="37">
        <f t="shared" si="85"/>
        <v>-1.5</v>
      </c>
      <c r="BE49" s="37">
        <f t="shared" si="86"/>
        <v>-0.5</v>
      </c>
      <c r="BF49" s="13" cm="1">
        <f t="array" ref="BF49">SUMPRODUCT((1/COUNTIFS($A$3:$A49,$A$3:$A49,$H$3:$H49,$H$3:$H49,$I$3:$I49,$I$3:$I49)))</f>
        <v>21.999999999999996</v>
      </c>
      <c r="BG49" s="13">
        <v>0</v>
      </c>
      <c r="BH49" s="12">
        <f t="shared" si="29"/>
        <v>0</v>
      </c>
    </row>
    <row r="50" spans="1:60" x14ac:dyDescent="0.2">
      <c r="A50" s="91">
        <v>46270</v>
      </c>
      <c r="C50" s="37">
        <v>11.18</v>
      </c>
      <c r="D50" s="13" t="s">
        <v>205</v>
      </c>
      <c r="E50" s="13" t="s">
        <v>134</v>
      </c>
      <c r="H50" t="s">
        <v>138</v>
      </c>
      <c r="I50" s="13">
        <v>10</v>
      </c>
      <c r="J50" s="13">
        <v>3</v>
      </c>
      <c r="K50" t="s">
        <v>199</v>
      </c>
      <c r="L50" s="37">
        <v>0.5</v>
      </c>
      <c r="M50" s="37">
        <v>30</v>
      </c>
      <c r="N50" s="37">
        <v>46.14</v>
      </c>
      <c r="O50" s="37" t="s">
        <v>17</v>
      </c>
      <c r="Q50" s="13" t="s">
        <v>4</v>
      </c>
      <c r="R50" s="37">
        <v>42.528800000000004</v>
      </c>
      <c r="S50" s="13" t="s">
        <v>136</v>
      </c>
      <c r="T50" s="38" t="str">
        <f t="shared" si="5"/>
        <v>0.00</v>
      </c>
      <c r="U50" s="38">
        <f t="shared" si="18"/>
        <v>-0.5</v>
      </c>
      <c r="V50" s="38">
        <f t="shared" si="19"/>
        <v>-24</v>
      </c>
      <c r="W50" s="38">
        <f t="shared" si="20"/>
        <v>24</v>
      </c>
      <c r="X50" s="39">
        <f t="shared" si="21"/>
        <v>-1</v>
      </c>
      <c r="Y50" s="40">
        <f t="shared" si="22"/>
        <v>-0.24</v>
      </c>
      <c r="Z50" s="41">
        <f t="shared" si="23"/>
        <v>-2400</v>
      </c>
      <c r="AA50" s="13" t="s">
        <v>57</v>
      </c>
      <c r="AT50" s="37">
        <v>38.799999999999997</v>
      </c>
      <c r="AU50" s="37">
        <v>31</v>
      </c>
      <c r="AV50" s="10">
        <f t="shared" si="12"/>
        <v>22.57</v>
      </c>
      <c r="AW50" s="10">
        <f t="shared" ref="AW50:AW55" si="87">0.92*(N50-1)+1</f>
        <v>42.528800000000004</v>
      </c>
      <c r="AZ50" t="str">
        <f t="shared" ref="AZ50:AZ55" si="88">IF(N50&gt;=M50,"Yes","No")</f>
        <v>Yes</v>
      </c>
      <c r="BB50" s="37">
        <f t="shared" ref="BB50:BB55" si="89">IF(AA50="W",
   L50*(N50-1),
   -L50
)</f>
        <v>-0.5</v>
      </c>
      <c r="BC50" s="37">
        <f t="shared" si="58"/>
        <v>0.89999999999999991</v>
      </c>
      <c r="BD50" s="37">
        <f t="shared" ref="BD50:BD55" si="90">IF(BC50&gt;0, BC50*0.92, BC50)</f>
        <v>0.82799999999999996</v>
      </c>
      <c r="BE50" s="37">
        <f t="shared" ref="BE50:BE55" si="91">IF(
  BC50&gt;0,
  IF(
    AA50="W",
    BB50 - (BC50 - BD50),
    BB50
  ),
  BB50
)</f>
        <v>-0.5</v>
      </c>
      <c r="BF50" s="13" cm="1">
        <f t="array" ref="BF50">SUMPRODUCT((1/COUNTIFS($A$3:$A50,$A$3:$A50,$H$3:$H50,$H$3:$H50,$I$3:$I50,$I$3:$I50)))</f>
        <v>22.999999999999996</v>
      </c>
      <c r="BG50" s="13">
        <v>0</v>
      </c>
      <c r="BH50" s="12">
        <f t="shared" si="29"/>
        <v>0</v>
      </c>
    </row>
    <row r="51" spans="1:60" x14ac:dyDescent="0.2">
      <c r="A51" s="91">
        <v>46270</v>
      </c>
      <c r="C51" s="37">
        <v>11.18</v>
      </c>
      <c r="D51" s="13" t="s">
        <v>205</v>
      </c>
      <c r="E51" s="13" t="s">
        <v>134</v>
      </c>
      <c r="H51" t="s">
        <v>138</v>
      </c>
      <c r="I51" s="13">
        <v>10</v>
      </c>
      <c r="J51" s="13">
        <v>5</v>
      </c>
      <c r="K51" t="s">
        <v>200</v>
      </c>
      <c r="L51" s="37">
        <v>0.5</v>
      </c>
      <c r="M51" s="37">
        <v>12.5</v>
      </c>
      <c r="N51" s="37">
        <v>18.489999999999998</v>
      </c>
      <c r="O51" s="37" t="s">
        <v>17</v>
      </c>
      <c r="Q51" s="13" t="s">
        <v>4</v>
      </c>
      <c r="R51" s="37">
        <v>17.090799999999998</v>
      </c>
      <c r="S51" s="13" t="s">
        <v>136</v>
      </c>
      <c r="T51" s="38" t="str">
        <f t="shared" si="5"/>
        <v>0.00</v>
      </c>
      <c r="U51" s="38">
        <f t="shared" si="18"/>
        <v>-0.5</v>
      </c>
      <c r="V51" s="38">
        <f t="shared" si="19"/>
        <v>-24.5</v>
      </c>
      <c r="W51" s="38">
        <f t="shared" si="20"/>
        <v>24.5</v>
      </c>
      <c r="X51" s="39">
        <f t="shared" si="21"/>
        <v>-1</v>
      </c>
      <c r="Y51" s="40">
        <f t="shared" si="22"/>
        <v>-0.245</v>
      </c>
      <c r="Z51" s="41">
        <f t="shared" si="23"/>
        <v>-2450</v>
      </c>
      <c r="AA51" s="13" t="s">
        <v>57</v>
      </c>
      <c r="AT51" s="37">
        <v>16</v>
      </c>
      <c r="AU51" s="37">
        <v>16</v>
      </c>
      <c r="AV51" s="10">
        <f t="shared" si="12"/>
        <v>8.7449999999999992</v>
      </c>
      <c r="AW51" s="10">
        <f t="shared" si="87"/>
        <v>17.090799999999998</v>
      </c>
      <c r="AZ51" t="str">
        <f t="shared" si="88"/>
        <v>Yes</v>
      </c>
      <c r="BB51" s="37">
        <f t="shared" si="89"/>
        <v>-0.5</v>
      </c>
      <c r="BC51" s="37">
        <f t="shared" si="58"/>
        <v>0.89999999999999991</v>
      </c>
      <c r="BD51" s="37">
        <f t="shared" si="90"/>
        <v>0.82799999999999996</v>
      </c>
      <c r="BE51" s="37">
        <f t="shared" si="91"/>
        <v>-0.5</v>
      </c>
      <c r="BF51" s="13" cm="1">
        <f t="array" ref="BF51">SUMPRODUCT((1/COUNTIFS($A$3:$A51,$A$3:$A51,$H$3:$H51,$H$3:$H51,$I$3:$I51,$I$3:$I51)))</f>
        <v>22.999999999999996</v>
      </c>
      <c r="BG51" s="13">
        <v>0</v>
      </c>
      <c r="BH51" s="12">
        <f t="shared" si="29"/>
        <v>0</v>
      </c>
    </row>
    <row r="52" spans="1:60" x14ac:dyDescent="0.2">
      <c r="A52" s="91">
        <v>46270</v>
      </c>
      <c r="C52" s="37">
        <v>11.18</v>
      </c>
      <c r="D52" s="13" t="s">
        <v>205</v>
      </c>
      <c r="E52" s="13" t="s">
        <v>134</v>
      </c>
      <c r="H52" t="s">
        <v>138</v>
      </c>
      <c r="I52" s="13">
        <v>10</v>
      </c>
      <c r="J52" s="13">
        <v>6</v>
      </c>
      <c r="K52" t="s">
        <v>201</v>
      </c>
      <c r="L52" s="37">
        <v>0.5</v>
      </c>
      <c r="M52" s="37">
        <v>20</v>
      </c>
      <c r="N52" s="37">
        <v>35.880000000000003</v>
      </c>
      <c r="O52" s="37" t="s">
        <v>17</v>
      </c>
      <c r="Q52" s="13" t="s">
        <v>4</v>
      </c>
      <c r="R52" s="37">
        <v>33.089600000000004</v>
      </c>
      <c r="S52" s="13" t="s">
        <v>136</v>
      </c>
      <c r="T52" s="38" t="str">
        <f t="shared" si="5"/>
        <v>0.00</v>
      </c>
      <c r="U52" s="38">
        <f t="shared" si="18"/>
        <v>-0.5</v>
      </c>
      <c r="V52" s="38">
        <f t="shared" si="19"/>
        <v>-25</v>
      </c>
      <c r="W52" s="38">
        <f t="shared" si="20"/>
        <v>25</v>
      </c>
      <c r="X52" s="39">
        <f t="shared" si="21"/>
        <v>-1</v>
      </c>
      <c r="Y52" s="40">
        <f t="shared" si="22"/>
        <v>-0.25</v>
      </c>
      <c r="Z52" s="41">
        <f t="shared" si="23"/>
        <v>-2500</v>
      </c>
      <c r="AA52" s="13" t="s">
        <v>57</v>
      </c>
      <c r="AT52" s="37">
        <v>34.9</v>
      </c>
      <c r="AU52" s="37">
        <v>31</v>
      </c>
      <c r="AV52" s="10">
        <f t="shared" si="12"/>
        <v>17.440000000000001</v>
      </c>
      <c r="AW52" s="10">
        <f t="shared" si="87"/>
        <v>33.089600000000004</v>
      </c>
      <c r="AZ52" t="str">
        <f t="shared" si="88"/>
        <v>Yes</v>
      </c>
      <c r="BB52" s="37">
        <f t="shared" si="89"/>
        <v>-0.5</v>
      </c>
      <c r="BC52" s="37">
        <f t="shared" si="58"/>
        <v>0.89999999999999991</v>
      </c>
      <c r="BD52" s="37">
        <f t="shared" si="90"/>
        <v>0.82799999999999996</v>
      </c>
      <c r="BE52" s="37">
        <f t="shared" si="91"/>
        <v>-0.5</v>
      </c>
      <c r="BF52" s="13" cm="1">
        <f t="array" ref="BF52">SUMPRODUCT((1/COUNTIFS($A$3:$A52,$A$3:$A52,$H$3:$H52,$H$3:$H52,$I$3:$I52,$I$3:$I52)))</f>
        <v>22.999999999999993</v>
      </c>
      <c r="BG52" s="13">
        <v>0</v>
      </c>
      <c r="BH52" s="12">
        <f t="shared" si="29"/>
        <v>0</v>
      </c>
    </row>
    <row r="53" spans="1:60" x14ac:dyDescent="0.2">
      <c r="A53" s="91">
        <v>46270</v>
      </c>
      <c r="C53" s="37">
        <v>11.18</v>
      </c>
      <c r="D53" s="13" t="s">
        <v>205</v>
      </c>
      <c r="E53" s="13" t="s">
        <v>134</v>
      </c>
      <c r="H53" t="s">
        <v>138</v>
      </c>
      <c r="I53" s="13">
        <v>10</v>
      </c>
      <c r="J53" s="13">
        <v>7</v>
      </c>
      <c r="K53" t="s">
        <v>202</v>
      </c>
      <c r="L53" s="37">
        <v>0.5</v>
      </c>
      <c r="M53" s="37">
        <v>12</v>
      </c>
      <c r="N53" s="37">
        <v>16.5</v>
      </c>
      <c r="O53" s="37" t="s">
        <v>17</v>
      </c>
      <c r="Q53" s="13" t="s">
        <v>4</v>
      </c>
      <c r="R53" s="37">
        <v>15.26</v>
      </c>
      <c r="S53" s="13" t="s">
        <v>136</v>
      </c>
      <c r="T53" s="38" t="str">
        <f t="shared" si="5"/>
        <v>0.00</v>
      </c>
      <c r="U53" s="38">
        <f t="shared" si="18"/>
        <v>-0.5</v>
      </c>
      <c r="V53" s="38">
        <f t="shared" si="19"/>
        <v>-25.5</v>
      </c>
      <c r="W53" s="38">
        <f t="shared" si="20"/>
        <v>25.5</v>
      </c>
      <c r="X53" s="39">
        <f t="shared" si="21"/>
        <v>-1</v>
      </c>
      <c r="Y53" s="40">
        <f t="shared" si="22"/>
        <v>-0.255</v>
      </c>
      <c r="Z53" s="41">
        <f t="shared" si="23"/>
        <v>-2550</v>
      </c>
      <c r="AA53" s="13" t="s">
        <v>57</v>
      </c>
      <c r="AT53" s="37">
        <v>13</v>
      </c>
      <c r="AU53" s="37">
        <v>13</v>
      </c>
      <c r="AV53" s="10">
        <f t="shared" si="12"/>
        <v>7.75</v>
      </c>
      <c r="AW53" s="10">
        <f t="shared" si="87"/>
        <v>15.26</v>
      </c>
      <c r="AZ53" t="str">
        <f t="shared" si="88"/>
        <v>Yes</v>
      </c>
      <c r="BB53" s="37">
        <f t="shared" si="89"/>
        <v>-0.5</v>
      </c>
      <c r="BC53" s="37">
        <f t="shared" si="58"/>
        <v>0.89999999999999991</v>
      </c>
      <c r="BD53" s="37">
        <f t="shared" si="90"/>
        <v>0.82799999999999996</v>
      </c>
      <c r="BE53" s="37">
        <f t="shared" si="91"/>
        <v>-0.5</v>
      </c>
      <c r="BF53" s="13" cm="1">
        <f t="array" ref="BF53">SUMPRODUCT((1/COUNTIFS($A$3:$A53,$A$3:$A53,$H$3:$H53,$H$3:$H53,$I$3:$I53,$I$3:$I53)))</f>
        <v>22.999999999999996</v>
      </c>
      <c r="BG53" s="13">
        <v>0</v>
      </c>
      <c r="BH53" s="12">
        <f t="shared" si="29"/>
        <v>0</v>
      </c>
    </row>
    <row r="54" spans="1:60" x14ac:dyDescent="0.2">
      <c r="A54" s="91">
        <v>46270</v>
      </c>
      <c r="C54" s="37">
        <v>11.18</v>
      </c>
      <c r="D54" s="13" t="s">
        <v>205</v>
      </c>
      <c r="E54" s="13" t="s">
        <v>134</v>
      </c>
      <c r="H54" t="s">
        <v>138</v>
      </c>
      <c r="I54" s="13">
        <v>10</v>
      </c>
      <c r="J54" s="13">
        <v>9</v>
      </c>
      <c r="K54" s="101" t="s">
        <v>203</v>
      </c>
      <c r="L54" s="37">
        <v>0.5</v>
      </c>
      <c r="M54" s="37">
        <v>7.8</v>
      </c>
      <c r="N54" s="37">
        <v>7.8</v>
      </c>
      <c r="O54" s="37" t="s">
        <v>17</v>
      </c>
      <c r="Q54" s="13" t="s">
        <v>4</v>
      </c>
      <c r="R54" s="37">
        <v>7.2560000000000002</v>
      </c>
      <c r="S54" s="13">
        <v>1</v>
      </c>
      <c r="T54" s="38">
        <f t="shared" si="5"/>
        <v>3.63</v>
      </c>
      <c r="U54" s="38">
        <f t="shared" si="18"/>
        <v>3.3279999999999998</v>
      </c>
      <c r="V54" s="38">
        <f t="shared" si="19"/>
        <v>-22.172000000000001</v>
      </c>
      <c r="W54" s="38">
        <f t="shared" si="20"/>
        <v>26</v>
      </c>
      <c r="X54" s="39">
        <f t="shared" si="21"/>
        <v>-0.85276923076923083</v>
      </c>
      <c r="Y54" s="40">
        <f t="shared" si="22"/>
        <v>-0.22172</v>
      </c>
      <c r="Z54" s="41">
        <f t="shared" si="23"/>
        <v>-2217.2000000000003</v>
      </c>
      <c r="AA54" s="13" t="s">
        <v>206</v>
      </c>
      <c r="AT54" s="37">
        <v>8.3000000000000007</v>
      </c>
      <c r="AU54" s="37">
        <v>8</v>
      </c>
      <c r="AV54" s="10">
        <f t="shared" si="12"/>
        <v>3.4</v>
      </c>
      <c r="AW54" s="10">
        <f t="shared" si="87"/>
        <v>7.2560000000000002</v>
      </c>
      <c r="AZ54" t="str">
        <f t="shared" si="88"/>
        <v>Yes</v>
      </c>
      <c r="BB54" s="37">
        <f t="shared" si="89"/>
        <v>3.4</v>
      </c>
      <c r="BC54" s="37">
        <f t="shared" si="58"/>
        <v>0.89999999999999991</v>
      </c>
      <c r="BD54" s="37">
        <f t="shared" si="90"/>
        <v>0.82799999999999996</v>
      </c>
      <c r="BE54" s="37">
        <f t="shared" si="91"/>
        <v>3.3279999999999998</v>
      </c>
      <c r="BF54" s="13" cm="1">
        <f t="array" ref="BF54">SUMPRODUCT((1/COUNTIFS($A$3:$A54,$A$3:$A54,$H$3:$H54,$H$3:$H54,$I$3:$I54,$I$3:$I54)))</f>
        <v>22.999999999999993</v>
      </c>
      <c r="BG54" s="13">
        <v>1</v>
      </c>
      <c r="BH54" s="12">
        <f t="shared" si="29"/>
        <v>4.347826086956523E-2</v>
      </c>
    </row>
    <row r="55" spans="1:60" x14ac:dyDescent="0.2">
      <c r="A55" s="91">
        <v>46270</v>
      </c>
      <c r="C55" s="37">
        <v>11.18</v>
      </c>
      <c r="D55" s="13" t="s">
        <v>205</v>
      </c>
      <c r="E55" s="13" t="s">
        <v>134</v>
      </c>
      <c r="H55" t="s">
        <v>138</v>
      </c>
      <c r="I55" s="13">
        <v>10</v>
      </c>
      <c r="J55" s="13">
        <v>11</v>
      </c>
      <c r="K55" s="92" t="s">
        <v>204</v>
      </c>
      <c r="L55" s="37">
        <v>0.5</v>
      </c>
      <c r="M55" s="37">
        <v>19</v>
      </c>
      <c r="N55" s="37">
        <v>29.76</v>
      </c>
      <c r="O55" s="37" t="s">
        <v>17</v>
      </c>
      <c r="Q55" s="13" t="s">
        <v>4</v>
      </c>
      <c r="R55" s="37">
        <v>27.459200000000003</v>
      </c>
      <c r="S55" s="13">
        <v>3</v>
      </c>
      <c r="T55" s="38" t="str">
        <f t="shared" si="5"/>
        <v>0.00</v>
      </c>
      <c r="U55" s="38">
        <f t="shared" si="18"/>
        <v>-0.5</v>
      </c>
      <c r="V55" s="38">
        <f t="shared" si="19"/>
        <v>-22.672000000000001</v>
      </c>
      <c r="W55" s="38">
        <f t="shared" si="20"/>
        <v>26.5</v>
      </c>
      <c r="X55" s="39">
        <f t="shared" si="21"/>
        <v>-0.85554716981132073</v>
      </c>
      <c r="Y55" s="40">
        <f t="shared" si="22"/>
        <v>-0.22672</v>
      </c>
      <c r="Z55" s="41">
        <f t="shared" si="23"/>
        <v>-2267.2000000000003</v>
      </c>
      <c r="AA55" s="13" t="s">
        <v>57</v>
      </c>
      <c r="AT55" s="37">
        <v>21.2</v>
      </c>
      <c r="AU55" s="37">
        <v>26</v>
      </c>
      <c r="AV55" s="10">
        <f t="shared" si="12"/>
        <v>14.38</v>
      </c>
      <c r="AW55" s="10">
        <f t="shared" si="87"/>
        <v>27.459200000000003</v>
      </c>
      <c r="AZ55" t="str">
        <f t="shared" si="88"/>
        <v>Yes</v>
      </c>
      <c r="BB55" s="37">
        <f t="shared" si="89"/>
        <v>-0.5</v>
      </c>
      <c r="BC55" s="37">
        <f t="shared" si="58"/>
        <v>0.89999999999999991</v>
      </c>
      <c r="BD55" s="37">
        <f t="shared" si="90"/>
        <v>0.82799999999999996</v>
      </c>
      <c r="BE55" s="37">
        <f t="shared" si="91"/>
        <v>-0.5</v>
      </c>
      <c r="BF55" s="13" cm="1">
        <f t="array" ref="BF55">SUMPRODUCT((1/COUNTIFS($A$3:$A55,$A$3:$A55,$H$3:$H55,$H$3:$H55,$I$3:$I55,$I$3:$I55)))</f>
        <v>23.000000000000004</v>
      </c>
      <c r="BG55" s="13">
        <v>1</v>
      </c>
      <c r="BH55" s="12">
        <f t="shared" si="29"/>
        <v>4.3478260869565209E-2</v>
      </c>
    </row>
    <row r="56" spans="1:60" x14ac:dyDescent="0.2">
      <c r="A56" s="91">
        <v>46277</v>
      </c>
      <c r="C56" s="37">
        <v>10.46</v>
      </c>
      <c r="D56" s="13" t="s">
        <v>205</v>
      </c>
      <c r="E56" s="13" t="s">
        <v>142</v>
      </c>
      <c r="H56" t="s">
        <v>140</v>
      </c>
      <c r="I56" s="13">
        <v>1</v>
      </c>
      <c r="J56" s="13">
        <v>4</v>
      </c>
      <c r="K56" t="s">
        <v>208</v>
      </c>
      <c r="L56" s="37">
        <v>0.5</v>
      </c>
      <c r="M56" s="37">
        <v>24</v>
      </c>
      <c r="N56" s="37">
        <v>40</v>
      </c>
      <c r="O56" s="37" t="s">
        <v>17</v>
      </c>
      <c r="Q56" s="13" t="s">
        <v>4</v>
      </c>
      <c r="R56" s="37">
        <v>36.880000000000003</v>
      </c>
      <c r="S56" s="13" t="s">
        <v>136</v>
      </c>
      <c r="T56" s="38" t="str">
        <f t="shared" si="5"/>
        <v>0.00</v>
      </c>
      <c r="U56" s="38">
        <f t="shared" si="18"/>
        <v>-0.5</v>
      </c>
      <c r="V56" s="38">
        <f t="shared" si="19"/>
        <v>-23.172000000000001</v>
      </c>
      <c r="W56" s="38">
        <f t="shared" si="20"/>
        <v>27</v>
      </c>
      <c r="X56" s="39">
        <f t="shared" si="21"/>
        <v>-0.85822222222222222</v>
      </c>
      <c r="Y56" s="40">
        <f t="shared" si="22"/>
        <v>-0.23172000000000001</v>
      </c>
      <c r="Z56" s="41">
        <f t="shared" si="23"/>
        <v>-2317.2000000000003</v>
      </c>
      <c r="AA56" s="13" t="s">
        <v>57</v>
      </c>
      <c r="AT56" s="37">
        <v>26</v>
      </c>
      <c r="AU56" s="37">
        <v>26</v>
      </c>
      <c r="AV56" s="10">
        <f t="shared" si="12"/>
        <v>19.5</v>
      </c>
      <c r="AW56" s="10">
        <f t="shared" ref="AW56:AW57" si="92">0.92*(N56-1)+1</f>
        <v>36.880000000000003</v>
      </c>
      <c r="AZ56" t="str">
        <f t="shared" ref="AZ56:AZ57" si="93">IF(N56&gt;=M56,"Yes","No")</f>
        <v>Yes</v>
      </c>
      <c r="BB56" s="37">
        <f t="shared" ref="BB56:BB57" si="94">IF(AA56="W",
   L56*(N56-1),
   -L56
)</f>
        <v>-0.5</v>
      </c>
      <c r="BC56" s="37">
        <f t="shared" si="58"/>
        <v>-1</v>
      </c>
      <c r="BD56" s="37">
        <f t="shared" ref="BD56:BD57" si="95">IF(BC56&gt;0, BC56*0.92, BC56)</f>
        <v>-1</v>
      </c>
      <c r="BE56" s="37">
        <f t="shared" ref="BE56:BE57" si="96">IF(
  BC56&gt;0,
  IF(
    AA56="W",
    BB56 - (BC56 - BD56),
    BB56
  ),
  BB56
)</f>
        <v>-0.5</v>
      </c>
      <c r="BF56" s="13" cm="1">
        <f t="array" ref="BF56">SUMPRODUCT((1/COUNTIFS($A$3:$A56,$A$3:$A56,$H$3:$H56,$H$3:$H56,$I$3:$I56,$I$3:$I56)))</f>
        <v>24.000000000000004</v>
      </c>
      <c r="BG56" s="13">
        <v>1</v>
      </c>
      <c r="BH56" s="12">
        <f t="shared" si="29"/>
        <v>4.1666666666666657E-2</v>
      </c>
    </row>
    <row r="57" spans="1:60" x14ac:dyDescent="0.2">
      <c r="A57" s="91">
        <v>46277</v>
      </c>
      <c r="C57" s="37">
        <v>10.46</v>
      </c>
      <c r="D57" s="13" t="s">
        <v>205</v>
      </c>
      <c r="E57" s="13" t="s">
        <v>142</v>
      </c>
      <c r="H57" t="s">
        <v>140</v>
      </c>
      <c r="I57" s="13">
        <v>1</v>
      </c>
      <c r="J57" s="13">
        <v>13</v>
      </c>
      <c r="K57" s="92" t="s">
        <v>210</v>
      </c>
      <c r="L57" s="37">
        <v>0.5</v>
      </c>
      <c r="M57" s="37">
        <v>8.1999999999999993</v>
      </c>
      <c r="N57" s="37">
        <v>8.1999999999999993</v>
      </c>
      <c r="O57" s="37" t="s">
        <v>17</v>
      </c>
      <c r="Q57" s="13" t="s">
        <v>4</v>
      </c>
      <c r="R57" s="37">
        <v>7.6239999999999997</v>
      </c>
      <c r="S57" s="13">
        <v>3</v>
      </c>
      <c r="T57" s="38" t="str">
        <f t="shared" si="5"/>
        <v>0.00</v>
      </c>
      <c r="U57" s="38">
        <f t="shared" si="18"/>
        <v>-0.5</v>
      </c>
      <c r="V57" s="38">
        <f t="shared" si="19"/>
        <v>-23.672000000000001</v>
      </c>
      <c r="W57" s="38">
        <f t="shared" si="20"/>
        <v>27.5</v>
      </c>
      <c r="X57" s="39">
        <f t="shared" si="21"/>
        <v>-0.86080000000000001</v>
      </c>
      <c r="Y57" s="40">
        <f t="shared" si="22"/>
        <v>-0.23672000000000001</v>
      </c>
      <c r="Z57" s="41">
        <f t="shared" si="23"/>
        <v>-2367.2000000000003</v>
      </c>
      <c r="AA57" s="13" t="s">
        <v>57</v>
      </c>
      <c r="AT57" s="37">
        <v>6.5</v>
      </c>
      <c r="AU57" s="37">
        <v>6.5</v>
      </c>
      <c r="AV57" s="10">
        <f t="shared" si="12"/>
        <v>3.5999999999999996</v>
      </c>
      <c r="AW57" s="10">
        <f t="shared" si="92"/>
        <v>7.6239999999999997</v>
      </c>
      <c r="AZ57" t="str">
        <f t="shared" si="93"/>
        <v>Yes</v>
      </c>
      <c r="BB57" s="37">
        <f t="shared" si="94"/>
        <v>-0.5</v>
      </c>
      <c r="BC57" s="37">
        <f t="shared" si="58"/>
        <v>-1</v>
      </c>
      <c r="BD57" s="37">
        <f t="shared" si="95"/>
        <v>-1</v>
      </c>
      <c r="BE57" s="37">
        <f t="shared" si="96"/>
        <v>-0.5</v>
      </c>
      <c r="BF57" s="13" cm="1">
        <f t="array" ref="BF57">SUMPRODUCT((1/COUNTIFS($A$3:$A57,$A$3:$A57,$H$3:$H57,$H$3:$H57,$I$3:$I57,$I$3:$I57)))</f>
        <v>24.000000000000004</v>
      </c>
      <c r="BG57" s="13">
        <v>1</v>
      </c>
      <c r="BH57" s="12">
        <f t="shared" si="29"/>
        <v>4.1666666666666657E-2</v>
      </c>
    </row>
    <row r="58" spans="1:60" x14ac:dyDescent="0.2">
      <c r="A58" s="91">
        <v>46277</v>
      </c>
      <c r="C58" s="37">
        <v>10.46</v>
      </c>
      <c r="D58" s="13" t="s">
        <v>205</v>
      </c>
      <c r="E58" s="13" t="s">
        <v>134</v>
      </c>
      <c r="H58" t="s">
        <v>139</v>
      </c>
      <c r="I58" s="13">
        <v>1</v>
      </c>
      <c r="J58" s="13">
        <v>6</v>
      </c>
      <c r="K58" t="s">
        <v>150</v>
      </c>
      <c r="L58" s="37">
        <v>0.5</v>
      </c>
      <c r="M58" s="37">
        <v>10.5</v>
      </c>
      <c r="N58" s="37">
        <v>14.5</v>
      </c>
      <c r="O58" s="37" t="s">
        <v>17</v>
      </c>
      <c r="Q58" s="13" t="s">
        <v>4</v>
      </c>
      <c r="R58" s="37">
        <v>13.42</v>
      </c>
      <c r="S58" s="13" t="s">
        <v>136</v>
      </c>
      <c r="T58" s="38" t="str">
        <f t="shared" si="5"/>
        <v>0.00</v>
      </c>
      <c r="U58" s="38">
        <f t="shared" si="18"/>
        <v>-0.5</v>
      </c>
      <c r="V58" s="38">
        <f t="shared" si="19"/>
        <v>-24.172000000000001</v>
      </c>
      <c r="W58" s="38">
        <f t="shared" si="20"/>
        <v>28</v>
      </c>
      <c r="X58" s="39">
        <f t="shared" si="21"/>
        <v>-0.86328571428571432</v>
      </c>
      <c r="Y58" s="40">
        <f t="shared" si="22"/>
        <v>-0.24172000000000002</v>
      </c>
      <c r="Z58" s="41">
        <f t="shared" si="23"/>
        <v>-2417.2000000000003</v>
      </c>
      <c r="AA58" s="13" t="s">
        <v>57</v>
      </c>
      <c r="AT58" s="37">
        <v>12</v>
      </c>
      <c r="AU58" s="37">
        <v>11</v>
      </c>
      <c r="AV58" s="10">
        <f t="shared" si="12"/>
        <v>6.75</v>
      </c>
      <c r="AW58" s="10">
        <f t="shared" ref="AW58:AW60" si="97">0.92*(N58-1)+1</f>
        <v>13.42</v>
      </c>
      <c r="AZ58" t="str">
        <f t="shared" ref="AZ58:AZ60" si="98">IF(N58&gt;=M58,"Yes","No")</f>
        <v>Yes</v>
      </c>
      <c r="BB58" s="37">
        <f t="shared" ref="BB58:BB60" si="99">IF(AA58="W",
   L58*(N58-1),
   -L58
)</f>
        <v>-0.5</v>
      </c>
      <c r="BC58" s="37">
        <f t="shared" si="58"/>
        <v>-1.5</v>
      </c>
      <c r="BD58" s="37">
        <f t="shared" ref="BD58:BD60" si="100">IF(BC58&gt;0, BC58*0.92, BC58)</f>
        <v>-1.5</v>
      </c>
      <c r="BE58" s="37">
        <f t="shared" ref="BE58:BE60" si="101">IF(
  BC58&gt;0,
  IF(
    AA58="W",
    BB58 - (BC58 - BD58),
    BB58
  ),
  BB58
)</f>
        <v>-0.5</v>
      </c>
      <c r="BF58" s="13" cm="1">
        <f t="array" ref="BF58">SUMPRODUCT((1/COUNTIFS($A$3:$A58,$A$3:$A58,$H$3:$H58,$H$3:$H58,$I$3:$I58,$I$3:$I58)))</f>
        <v>25.000000000000004</v>
      </c>
      <c r="BG58" s="13">
        <v>1</v>
      </c>
      <c r="BH58" s="12">
        <f t="shared" si="29"/>
        <v>3.9999999999999994E-2</v>
      </c>
    </row>
    <row r="59" spans="1:60" x14ac:dyDescent="0.2">
      <c r="A59" s="91">
        <v>46277</v>
      </c>
      <c r="C59" s="37">
        <v>10.46</v>
      </c>
      <c r="D59" s="13" t="s">
        <v>205</v>
      </c>
      <c r="E59" s="13" t="s">
        <v>134</v>
      </c>
      <c r="H59" t="s">
        <v>139</v>
      </c>
      <c r="I59" s="13">
        <v>1</v>
      </c>
      <c r="J59" s="13">
        <v>13</v>
      </c>
      <c r="K59" t="s">
        <v>212</v>
      </c>
      <c r="L59" s="37">
        <v>0.5</v>
      </c>
      <c r="M59" s="37">
        <v>29</v>
      </c>
      <c r="N59" s="37">
        <v>76.23</v>
      </c>
      <c r="O59" s="37" t="s">
        <v>17</v>
      </c>
      <c r="Q59" s="13" t="s">
        <v>4</v>
      </c>
      <c r="R59" s="37">
        <v>70.211600000000004</v>
      </c>
      <c r="S59" s="13" t="s">
        <v>136</v>
      </c>
      <c r="T59" s="38" t="str">
        <f t="shared" si="5"/>
        <v>0.00</v>
      </c>
      <c r="U59" s="38">
        <f t="shared" si="18"/>
        <v>-0.5</v>
      </c>
      <c r="V59" s="38">
        <f t="shared" si="19"/>
        <v>-24.672000000000001</v>
      </c>
      <c r="W59" s="38">
        <f t="shared" si="20"/>
        <v>28.5</v>
      </c>
      <c r="X59" s="39">
        <f t="shared" si="21"/>
        <v>-0.86568421052631583</v>
      </c>
      <c r="Y59" s="40">
        <f t="shared" si="22"/>
        <v>-0.24671999999999999</v>
      </c>
      <c r="Z59" s="41">
        <f t="shared" si="23"/>
        <v>-2467.2000000000003</v>
      </c>
      <c r="AA59" s="13" t="s">
        <v>57</v>
      </c>
      <c r="AT59" s="37">
        <v>61</v>
      </c>
      <c r="AU59" s="37">
        <v>61</v>
      </c>
      <c r="AV59" s="10">
        <f t="shared" si="12"/>
        <v>37.615000000000002</v>
      </c>
      <c r="AW59" s="10">
        <f t="shared" si="97"/>
        <v>70.211600000000004</v>
      </c>
      <c r="AZ59" t="str">
        <f t="shared" si="98"/>
        <v>Yes</v>
      </c>
      <c r="BB59" s="37">
        <f t="shared" si="99"/>
        <v>-0.5</v>
      </c>
      <c r="BC59" s="37">
        <f t="shared" si="58"/>
        <v>-1.5</v>
      </c>
      <c r="BD59" s="37">
        <f t="shared" si="100"/>
        <v>-1.5</v>
      </c>
      <c r="BE59" s="37">
        <f t="shared" si="101"/>
        <v>-0.5</v>
      </c>
      <c r="BF59" s="13" cm="1">
        <f t="array" ref="BF59">SUMPRODUCT((1/COUNTIFS($A$3:$A59,$A$3:$A59,$H$3:$H59,$H$3:$H59,$I$3:$I59,$I$3:$I59)))</f>
        <v>25.000000000000004</v>
      </c>
      <c r="BG59" s="13">
        <v>1</v>
      </c>
      <c r="BH59" s="12">
        <f t="shared" si="29"/>
        <v>3.9999999999999994E-2</v>
      </c>
    </row>
    <row r="60" spans="1:60" x14ac:dyDescent="0.2">
      <c r="A60" s="91">
        <v>46277</v>
      </c>
      <c r="C60" s="37">
        <v>10.46</v>
      </c>
      <c r="D60" s="13" t="s">
        <v>205</v>
      </c>
      <c r="E60" s="13" t="s">
        <v>134</v>
      </c>
      <c r="H60" t="s">
        <v>139</v>
      </c>
      <c r="I60" s="13">
        <v>1</v>
      </c>
      <c r="J60" s="13">
        <v>14</v>
      </c>
      <c r="K60" t="s">
        <v>213</v>
      </c>
      <c r="L60" s="37">
        <v>0.5</v>
      </c>
      <c r="M60" s="37">
        <v>12</v>
      </c>
      <c r="N60" s="37">
        <v>23</v>
      </c>
      <c r="O60" s="37" t="s">
        <v>17</v>
      </c>
      <c r="Q60" s="13" t="s">
        <v>4</v>
      </c>
      <c r="R60" s="37">
        <v>21.240000000000002</v>
      </c>
      <c r="S60" s="13" t="s">
        <v>136</v>
      </c>
      <c r="T60" s="38" t="str">
        <f t="shared" si="5"/>
        <v>0.00</v>
      </c>
      <c r="U60" s="38">
        <f t="shared" si="18"/>
        <v>-0.5</v>
      </c>
      <c r="V60" s="38">
        <f t="shared" si="19"/>
        <v>-25.172000000000001</v>
      </c>
      <c r="W60" s="38">
        <f t="shared" si="20"/>
        <v>29</v>
      </c>
      <c r="X60" s="39">
        <f t="shared" si="21"/>
        <v>-0.86799999999999999</v>
      </c>
      <c r="Y60" s="40">
        <f t="shared" si="22"/>
        <v>-0.25172</v>
      </c>
      <c r="Z60" s="41">
        <f t="shared" si="23"/>
        <v>-2517.2000000000003</v>
      </c>
      <c r="AA60" s="13" t="s">
        <v>57</v>
      </c>
      <c r="AT60" s="37">
        <v>18</v>
      </c>
      <c r="AU60" s="37">
        <v>18</v>
      </c>
      <c r="AV60" s="10">
        <f t="shared" si="12"/>
        <v>11</v>
      </c>
      <c r="AW60" s="10">
        <f t="shared" si="97"/>
        <v>21.240000000000002</v>
      </c>
      <c r="AZ60" t="str">
        <f t="shared" si="98"/>
        <v>Yes</v>
      </c>
      <c r="BB60" s="37">
        <f t="shared" si="99"/>
        <v>-0.5</v>
      </c>
      <c r="BC60" s="37">
        <f t="shared" si="58"/>
        <v>-1.5</v>
      </c>
      <c r="BD60" s="37">
        <f t="shared" si="100"/>
        <v>-1.5</v>
      </c>
      <c r="BE60" s="37">
        <f t="shared" si="101"/>
        <v>-0.5</v>
      </c>
      <c r="BF60" s="13" cm="1">
        <f t="array" ref="BF60">SUMPRODUCT((1/COUNTIFS($A$3:$A60,$A$3:$A60,$H$3:$H60,$H$3:$H60,$I$3:$I60,$I$3:$I60)))</f>
        <v>25</v>
      </c>
      <c r="BG60" s="13">
        <v>1</v>
      </c>
      <c r="BH60" s="12">
        <f t="shared" si="29"/>
        <v>0.04</v>
      </c>
    </row>
    <row r="61" spans="1:60" x14ac:dyDescent="0.2">
      <c r="A61" s="91">
        <v>46277</v>
      </c>
      <c r="C61" s="37">
        <v>10.46</v>
      </c>
      <c r="D61" s="13" t="s">
        <v>205</v>
      </c>
      <c r="E61" s="13" t="s">
        <v>142</v>
      </c>
      <c r="H61" t="s">
        <v>140</v>
      </c>
      <c r="I61" s="13">
        <v>2</v>
      </c>
      <c r="J61" s="13">
        <v>2</v>
      </c>
      <c r="K61" t="s">
        <v>215</v>
      </c>
      <c r="L61" s="37">
        <v>0.5</v>
      </c>
      <c r="M61" s="37">
        <v>9.8000000000000007</v>
      </c>
      <c r="N61" s="37">
        <v>12</v>
      </c>
      <c r="O61" s="37" t="s">
        <v>17</v>
      </c>
      <c r="Q61" s="13" t="s">
        <v>4</v>
      </c>
      <c r="R61" s="37">
        <v>11.120000000000001</v>
      </c>
      <c r="S61" s="13" t="s">
        <v>136</v>
      </c>
      <c r="T61" s="38" t="str">
        <f t="shared" si="5"/>
        <v>0.00</v>
      </c>
      <c r="U61" s="38">
        <f t="shared" si="18"/>
        <v>-0.5</v>
      </c>
      <c r="V61" s="38">
        <f t="shared" si="19"/>
        <v>-25.672000000000001</v>
      </c>
      <c r="W61" s="38">
        <f t="shared" si="20"/>
        <v>29.5</v>
      </c>
      <c r="X61" s="39">
        <f t="shared" si="21"/>
        <v>-0.8702372881355932</v>
      </c>
      <c r="Y61" s="40">
        <f t="shared" si="22"/>
        <v>-0.25672</v>
      </c>
      <c r="Z61" s="41">
        <f t="shared" si="23"/>
        <v>-2567.2000000000003</v>
      </c>
      <c r="AA61" s="13" t="s">
        <v>57</v>
      </c>
      <c r="AT61" s="37">
        <v>11</v>
      </c>
      <c r="AU61" s="37">
        <v>10</v>
      </c>
      <c r="AV61" s="10">
        <f t="shared" si="12"/>
        <v>5.5</v>
      </c>
      <c r="AW61" s="10">
        <f t="shared" ref="AW61" si="102">0.92*(N61-1)+1</f>
        <v>11.120000000000001</v>
      </c>
      <c r="AZ61" t="str">
        <f t="shared" ref="AZ61" si="103">IF(N61&gt;=M61,"Yes","No")</f>
        <v>Yes</v>
      </c>
      <c r="BB61" s="37">
        <f t="shared" ref="BB61" si="104">IF(AA61="W",
   L61*(N61-1),
   -L61
)</f>
        <v>-0.5</v>
      </c>
      <c r="BC61" s="37">
        <f t="shared" si="58"/>
        <v>-0.5</v>
      </c>
      <c r="BD61" s="37">
        <f t="shared" ref="BD61" si="105">IF(BC61&gt;0, BC61*0.92, BC61)</f>
        <v>-0.5</v>
      </c>
      <c r="BE61" s="37">
        <f t="shared" ref="BE61" si="106">IF(
  BC61&gt;0,
  IF(
    AA61="W",
    BB61 - (BC61 - BD61),
    BB61
  ),
  BB61
)</f>
        <v>-0.5</v>
      </c>
      <c r="BF61" s="13" cm="1">
        <f t="array" ref="BF61">SUMPRODUCT((1/COUNTIFS($A$3:$A61,$A$3:$A61,$H$3:$H61,$H$3:$H61,$I$3:$I61,$I$3:$I61)))</f>
        <v>26</v>
      </c>
      <c r="BG61" s="13">
        <v>1</v>
      </c>
      <c r="BH61" s="12">
        <f t="shared" si="29"/>
        <v>3.8461538461538464E-2</v>
      </c>
    </row>
    <row r="62" spans="1:60" x14ac:dyDescent="0.2">
      <c r="A62" s="91">
        <v>46277</v>
      </c>
      <c r="C62" s="37">
        <v>10.46</v>
      </c>
      <c r="D62" s="13" t="s">
        <v>205</v>
      </c>
      <c r="E62" s="13" t="s">
        <v>134</v>
      </c>
      <c r="H62" t="s">
        <v>139</v>
      </c>
      <c r="I62" s="13">
        <v>2</v>
      </c>
      <c r="J62" s="13">
        <v>14</v>
      </c>
      <c r="K62" t="s">
        <v>219</v>
      </c>
      <c r="L62" s="37">
        <v>0.5</v>
      </c>
      <c r="M62" s="37">
        <v>24</v>
      </c>
      <c r="N62" s="37">
        <v>28.11</v>
      </c>
      <c r="O62" s="37" t="s">
        <v>17</v>
      </c>
      <c r="Q62" s="13" t="s">
        <v>4</v>
      </c>
      <c r="R62" s="37">
        <v>25.941200000000002</v>
      </c>
      <c r="S62" s="13" t="s">
        <v>136</v>
      </c>
      <c r="T62" s="38" t="str">
        <f t="shared" si="5"/>
        <v>0.00</v>
      </c>
      <c r="U62" s="38">
        <f t="shared" si="18"/>
        <v>-0.5</v>
      </c>
      <c r="V62" s="38">
        <f t="shared" si="19"/>
        <v>-26.172000000000001</v>
      </c>
      <c r="W62" s="38">
        <f t="shared" si="20"/>
        <v>30</v>
      </c>
      <c r="X62" s="39">
        <f t="shared" si="21"/>
        <v>-0.87240000000000006</v>
      </c>
      <c r="Y62" s="40">
        <f t="shared" si="22"/>
        <v>-0.26172000000000001</v>
      </c>
      <c r="Z62" s="41">
        <f t="shared" si="23"/>
        <v>-2617.2000000000003</v>
      </c>
      <c r="AA62" s="13" t="s">
        <v>57</v>
      </c>
      <c r="AT62" s="37">
        <v>35.1</v>
      </c>
      <c r="AU62" s="37">
        <v>26</v>
      </c>
      <c r="AV62" s="10">
        <f t="shared" si="12"/>
        <v>13.555</v>
      </c>
      <c r="AW62" s="10">
        <f t="shared" ref="AW62" si="107">0.92*(N62-1)+1</f>
        <v>25.941200000000002</v>
      </c>
      <c r="AZ62" t="str">
        <f t="shared" ref="AZ62" si="108">IF(N62&gt;=M62,"Yes","No")</f>
        <v>Yes</v>
      </c>
      <c r="BB62" s="37">
        <f t="shared" ref="BB62" si="109">IF(AA62="W",
   L62*(N62-1),
   -L62
)</f>
        <v>-0.5</v>
      </c>
      <c r="BC62" s="37">
        <f t="shared" si="58"/>
        <v>-0.5</v>
      </c>
      <c r="BD62" s="37">
        <f t="shared" ref="BD62" si="110">IF(BC62&gt;0, BC62*0.92, BC62)</f>
        <v>-0.5</v>
      </c>
      <c r="BE62" s="37">
        <f t="shared" ref="BE62" si="111">IF(
  BC62&gt;0,
  IF(
    AA62="W",
    BB62 - (BC62 - BD62),
    BB62
  ),
  BB62
)</f>
        <v>-0.5</v>
      </c>
      <c r="BF62" s="13" cm="1">
        <f t="array" ref="BF62">SUMPRODUCT((1/COUNTIFS($A$3:$A62,$A$3:$A62,$H$3:$H62,$H$3:$H62,$I$3:$I62,$I$3:$I62)))</f>
        <v>27</v>
      </c>
      <c r="BG62" s="13">
        <v>1</v>
      </c>
      <c r="BH62" s="12">
        <f t="shared" si="29"/>
        <v>3.7037037037037035E-2</v>
      </c>
    </row>
    <row r="63" spans="1:60" x14ac:dyDescent="0.2">
      <c r="A63" s="91">
        <v>46277</v>
      </c>
      <c r="C63" s="37">
        <v>10.46</v>
      </c>
      <c r="D63" s="13" t="s">
        <v>205</v>
      </c>
      <c r="E63" s="13" t="s">
        <v>142</v>
      </c>
      <c r="H63" t="s">
        <v>140</v>
      </c>
      <c r="I63" s="13">
        <v>3</v>
      </c>
      <c r="J63" s="13">
        <v>1</v>
      </c>
      <c r="K63" t="s">
        <v>221</v>
      </c>
      <c r="L63" s="37">
        <v>0.5</v>
      </c>
      <c r="M63" s="37">
        <v>24</v>
      </c>
      <c r="N63" s="37">
        <v>29.37</v>
      </c>
      <c r="O63" s="37" t="s">
        <v>17</v>
      </c>
      <c r="Q63" s="13" t="s">
        <v>4</v>
      </c>
      <c r="R63" s="37">
        <v>27.1004</v>
      </c>
      <c r="S63" s="13" t="s">
        <v>136</v>
      </c>
      <c r="T63" s="38" t="str">
        <f t="shared" si="5"/>
        <v>0.00</v>
      </c>
      <c r="U63" s="38">
        <f t="shared" si="18"/>
        <v>-0.5</v>
      </c>
      <c r="V63" s="38">
        <f t="shared" si="19"/>
        <v>-26.672000000000001</v>
      </c>
      <c r="W63" s="38">
        <f t="shared" si="20"/>
        <v>30.5</v>
      </c>
      <c r="X63" s="39">
        <f t="shared" si="21"/>
        <v>-0.87449180327868858</v>
      </c>
      <c r="Y63" s="40">
        <f t="shared" si="22"/>
        <v>-0.26672000000000001</v>
      </c>
      <c r="Z63" s="41">
        <f t="shared" si="23"/>
        <v>-2667.2000000000003</v>
      </c>
      <c r="AA63" s="13" t="s">
        <v>57</v>
      </c>
      <c r="AT63" s="37">
        <v>22.8</v>
      </c>
      <c r="AU63" s="37">
        <v>20</v>
      </c>
      <c r="AV63" s="10">
        <f t="shared" si="12"/>
        <v>14.185</v>
      </c>
      <c r="AW63" s="10">
        <f t="shared" ref="AW63:AW64" si="112">0.92*(N63-1)+1</f>
        <v>27.1004</v>
      </c>
      <c r="AZ63" t="str">
        <f t="shared" ref="AZ63:AZ64" si="113">IF(N63&gt;=M63,"Yes","No")</f>
        <v>Yes</v>
      </c>
      <c r="BB63" s="37">
        <f t="shared" ref="BB63:BB64" si="114">IF(AA63="W",
   L63*(N63-1),
   -L63
)</f>
        <v>-0.5</v>
      </c>
      <c r="BC63" s="37">
        <f t="shared" si="58"/>
        <v>19.765000000000001</v>
      </c>
      <c r="BD63" s="37">
        <f t="shared" ref="BD63:BD64" si="115">IF(BC63&gt;0, BC63*0.92, BC63)</f>
        <v>18.183800000000002</v>
      </c>
      <c r="BE63" s="37">
        <f t="shared" ref="BE63:BE64" si="116">IF(
  BC63&gt;0,
  IF(
    AA63="W",
    BB63 - (BC63 - BD63),
    BB63
  ),
  BB63
)</f>
        <v>-0.5</v>
      </c>
      <c r="BF63" s="13" cm="1">
        <f t="array" ref="BF63">SUMPRODUCT((1/COUNTIFS($A$3:$A63,$A$3:$A63,$H$3:$H63,$H$3:$H63,$I$3:$I63,$I$3:$I63)))</f>
        <v>28</v>
      </c>
      <c r="BG63" s="13">
        <v>1</v>
      </c>
      <c r="BH63" s="12">
        <f t="shared" si="29"/>
        <v>3.5714285714285712E-2</v>
      </c>
    </row>
    <row r="64" spans="1:60" x14ac:dyDescent="0.2">
      <c r="A64" s="91">
        <v>46277</v>
      </c>
      <c r="C64" s="37">
        <v>10.46</v>
      </c>
      <c r="D64" s="13" t="s">
        <v>205</v>
      </c>
      <c r="E64" s="13" t="s">
        <v>142</v>
      </c>
      <c r="H64" t="s">
        <v>140</v>
      </c>
      <c r="I64" s="13">
        <v>3</v>
      </c>
      <c r="J64" s="13">
        <v>9</v>
      </c>
      <c r="K64" s="101" t="s">
        <v>222</v>
      </c>
      <c r="L64" s="37">
        <v>0.5</v>
      </c>
      <c r="M64" s="37">
        <v>22</v>
      </c>
      <c r="N64" s="37">
        <v>41.53</v>
      </c>
      <c r="O64" s="37" t="s">
        <v>17</v>
      </c>
      <c r="Q64" s="13" t="s">
        <v>4</v>
      </c>
      <c r="R64" s="37">
        <v>38.287600000000005</v>
      </c>
      <c r="S64" s="13">
        <v>1</v>
      </c>
      <c r="T64" s="38">
        <f t="shared" si="5"/>
        <v>19.14</v>
      </c>
      <c r="U64" s="38">
        <f t="shared" si="18"/>
        <v>18.683800000000002</v>
      </c>
      <c r="V64" s="38">
        <f t="shared" si="19"/>
        <v>-7.9881999999999991</v>
      </c>
      <c r="W64" s="38">
        <f t="shared" si="20"/>
        <v>31</v>
      </c>
      <c r="X64" s="39">
        <f t="shared" si="21"/>
        <v>-0.25768387096774192</v>
      </c>
      <c r="Y64" s="40">
        <f t="shared" si="22"/>
        <v>-7.9881999999999995E-2</v>
      </c>
      <c r="Z64" s="41">
        <f t="shared" si="23"/>
        <v>-798.81999999999994</v>
      </c>
      <c r="AA64" s="13" t="s">
        <v>206</v>
      </c>
      <c r="AT64" s="37">
        <v>31.3</v>
      </c>
      <c r="AU64" s="37">
        <v>26</v>
      </c>
      <c r="AV64" s="10">
        <f t="shared" si="12"/>
        <v>20.265000000000001</v>
      </c>
      <c r="AW64" s="10">
        <f t="shared" si="112"/>
        <v>38.287600000000005</v>
      </c>
      <c r="AZ64" t="str">
        <f t="shared" si="113"/>
        <v>Yes</v>
      </c>
      <c r="BB64" s="37">
        <f t="shared" si="114"/>
        <v>20.265000000000001</v>
      </c>
      <c r="BC64" s="37">
        <f t="shared" si="58"/>
        <v>19.765000000000001</v>
      </c>
      <c r="BD64" s="37">
        <f t="shared" si="115"/>
        <v>18.183800000000002</v>
      </c>
      <c r="BE64" s="37">
        <f t="shared" si="116"/>
        <v>18.683800000000002</v>
      </c>
      <c r="BF64" s="13" cm="1">
        <f t="array" ref="BF64">SUMPRODUCT((1/COUNTIFS($A$3:$A64,$A$3:$A64,$H$3:$H64,$H$3:$H64,$I$3:$I64,$I$3:$I64)))</f>
        <v>28</v>
      </c>
      <c r="BG64" s="13">
        <v>2</v>
      </c>
      <c r="BH64" s="12">
        <f t="shared" si="29"/>
        <v>7.1428571428571425E-2</v>
      </c>
    </row>
    <row r="65" spans="1:60" x14ac:dyDescent="0.2">
      <c r="A65" s="91">
        <v>46277</v>
      </c>
      <c r="C65" s="37">
        <v>10.46</v>
      </c>
      <c r="D65" s="13" t="s">
        <v>205</v>
      </c>
      <c r="E65" s="13" t="s">
        <v>134</v>
      </c>
      <c r="H65" t="s">
        <v>139</v>
      </c>
      <c r="I65" s="13">
        <v>3</v>
      </c>
      <c r="J65" s="13">
        <v>7</v>
      </c>
      <c r="K65" t="s">
        <v>224</v>
      </c>
      <c r="L65" s="37">
        <v>0.5</v>
      </c>
      <c r="M65" s="37">
        <v>7</v>
      </c>
      <c r="N65" s="37">
        <v>10.5</v>
      </c>
      <c r="O65" s="37" t="s">
        <v>17</v>
      </c>
      <c r="Q65" s="13" t="s">
        <v>4</v>
      </c>
      <c r="R65" s="37">
        <v>9.74</v>
      </c>
      <c r="S65" s="102" t="s">
        <v>136</v>
      </c>
      <c r="T65" s="38" t="str">
        <f t="shared" si="5"/>
        <v>0.00</v>
      </c>
      <c r="U65" s="38">
        <f t="shared" si="18"/>
        <v>-0.5</v>
      </c>
      <c r="V65" s="38">
        <f t="shared" si="19"/>
        <v>-8.4881999999999991</v>
      </c>
      <c r="W65" s="38">
        <f t="shared" si="20"/>
        <v>31.5</v>
      </c>
      <c r="X65" s="39">
        <f t="shared" si="21"/>
        <v>-0.26946666666666663</v>
      </c>
      <c r="Y65" s="40">
        <f t="shared" si="22"/>
        <v>-8.4881999999999985E-2</v>
      </c>
      <c r="Z65" s="41">
        <f t="shared" si="23"/>
        <v>-848.81999999999994</v>
      </c>
      <c r="AA65" s="13" t="s">
        <v>57</v>
      </c>
      <c r="AT65" s="37">
        <v>7.9</v>
      </c>
      <c r="AU65" s="37">
        <v>7</v>
      </c>
      <c r="AV65" s="10">
        <f t="shared" si="12"/>
        <v>4.75</v>
      </c>
      <c r="AW65" s="10">
        <f t="shared" ref="AW65" si="117">0.92*(N65-1)+1</f>
        <v>9.74</v>
      </c>
      <c r="AZ65" t="str">
        <f t="shared" ref="AZ65" si="118">IF(N65&gt;=M65,"Yes","No")</f>
        <v>Yes</v>
      </c>
      <c r="BB65" s="37">
        <f t="shared" ref="BB65" si="119">IF(AA65="W",
   L65*(N65-1),
   -L65
)</f>
        <v>-0.5</v>
      </c>
      <c r="BC65" s="37">
        <f t="shared" si="58"/>
        <v>-0.5</v>
      </c>
      <c r="BD65" s="37">
        <f t="shared" ref="BD65" si="120">IF(BC65&gt;0, BC65*0.92, BC65)</f>
        <v>-0.5</v>
      </c>
      <c r="BE65" s="37">
        <f t="shared" ref="BE65" si="121">IF(
  BC65&gt;0,
  IF(
    AA65="W",
    BB65 - (BC65 - BD65),
    BB65
  ),
  BB65
)</f>
        <v>-0.5</v>
      </c>
      <c r="BF65" s="13" cm="1">
        <f t="array" ref="BF65">SUMPRODUCT((1/COUNTIFS($A$3:$A65,$A$3:$A65,$H$3:$H65,$H$3:$H65,$I$3:$I65,$I$3:$I65)))</f>
        <v>29</v>
      </c>
      <c r="BG65" s="13">
        <v>2</v>
      </c>
      <c r="BH65" s="12">
        <f t="shared" si="29"/>
        <v>6.8965517241379309E-2</v>
      </c>
    </row>
    <row r="66" spans="1:60" x14ac:dyDescent="0.2">
      <c r="A66" s="91">
        <v>46277</v>
      </c>
      <c r="C66" s="37">
        <v>10.46</v>
      </c>
      <c r="D66" s="13" t="s">
        <v>205</v>
      </c>
      <c r="E66" s="13" t="s">
        <v>142</v>
      </c>
      <c r="H66" t="s">
        <v>140</v>
      </c>
      <c r="I66" s="13">
        <v>4</v>
      </c>
      <c r="J66" s="13">
        <v>2</v>
      </c>
      <c r="K66" s="98" t="s">
        <v>225</v>
      </c>
      <c r="L66" s="37">
        <v>0.5</v>
      </c>
      <c r="M66" s="37">
        <v>19</v>
      </c>
      <c r="N66" s="37">
        <v>40.83</v>
      </c>
      <c r="O66" s="37" t="s">
        <v>17</v>
      </c>
      <c r="Q66" s="13" t="s">
        <v>4</v>
      </c>
      <c r="R66" s="37">
        <v>37.643599999999999</v>
      </c>
      <c r="S66" s="13">
        <v>4</v>
      </c>
      <c r="T66" s="38" t="str">
        <f t="shared" si="5"/>
        <v>0.00</v>
      </c>
      <c r="U66" s="38">
        <f t="shared" si="18"/>
        <v>-0.5</v>
      </c>
      <c r="V66" s="38">
        <f t="shared" si="19"/>
        <v>-8.9881999999999991</v>
      </c>
      <c r="W66" s="38">
        <f t="shared" si="20"/>
        <v>32</v>
      </c>
      <c r="X66" s="39">
        <f t="shared" si="21"/>
        <v>-0.28088124999999997</v>
      </c>
      <c r="Y66" s="40">
        <f t="shared" si="22"/>
        <v>-8.988199999999999E-2</v>
      </c>
      <c r="Z66" s="41">
        <f t="shared" si="23"/>
        <v>-898.81999999999994</v>
      </c>
      <c r="AA66" s="13" t="s">
        <v>57</v>
      </c>
      <c r="AT66" s="37">
        <v>26.5</v>
      </c>
      <c r="AU66" s="37">
        <v>26</v>
      </c>
      <c r="AV66" s="10">
        <f t="shared" si="12"/>
        <v>19.914999999999999</v>
      </c>
      <c r="AW66" s="10">
        <f t="shared" ref="AW66:AW68" si="122">0.92*(N66-1)+1</f>
        <v>37.643599999999999</v>
      </c>
      <c r="AZ66" t="str">
        <f t="shared" ref="AZ66:AZ68" si="123">IF(N66&gt;=M66,"Yes","No")</f>
        <v>Yes</v>
      </c>
      <c r="BB66" s="37">
        <f t="shared" ref="BB66:BB68" si="124">IF(AA66="W",
   L66*(N66-1),
   -L66
)</f>
        <v>-0.5</v>
      </c>
      <c r="BC66" s="37">
        <f t="shared" si="58"/>
        <v>-1.5</v>
      </c>
      <c r="BD66" s="37">
        <f t="shared" ref="BD66:BD68" si="125">IF(BC66&gt;0, BC66*0.92, BC66)</f>
        <v>-1.5</v>
      </c>
      <c r="BE66" s="37">
        <f t="shared" ref="BE66:BE68" si="126">IF(
  BC66&gt;0,
  IF(
    AA66="W",
    BB66 - (BC66 - BD66),
    BB66
  ),
  BB66
)</f>
        <v>-0.5</v>
      </c>
      <c r="BF66" s="13" cm="1">
        <f t="array" ref="BF66">SUMPRODUCT((1/COUNTIFS($A$3:$A66,$A$3:$A66,$H$3:$H66,$H$3:$H66,$I$3:$I66,$I$3:$I66)))</f>
        <v>30</v>
      </c>
      <c r="BG66" s="13">
        <v>2</v>
      </c>
      <c r="BH66" s="12">
        <f t="shared" si="29"/>
        <v>6.6666666666666666E-2</v>
      </c>
    </row>
    <row r="67" spans="1:60" x14ac:dyDescent="0.2">
      <c r="A67" s="91">
        <v>46277</v>
      </c>
      <c r="C67" s="37">
        <v>10.46</v>
      </c>
      <c r="D67" s="13" t="s">
        <v>205</v>
      </c>
      <c r="E67" s="13" t="s">
        <v>142</v>
      </c>
      <c r="H67" t="s">
        <v>140</v>
      </c>
      <c r="I67" s="13">
        <v>4</v>
      </c>
      <c r="J67" s="13">
        <v>4</v>
      </c>
      <c r="K67" t="s">
        <v>226</v>
      </c>
      <c r="L67" s="37">
        <v>0.5</v>
      </c>
      <c r="M67" s="37">
        <v>12</v>
      </c>
      <c r="N67" s="37">
        <v>24.93</v>
      </c>
      <c r="O67" s="37" t="s">
        <v>17</v>
      </c>
      <c r="Q67" s="13" t="s">
        <v>4</v>
      </c>
      <c r="R67" s="37">
        <v>23.015599999999999</v>
      </c>
      <c r="S67" s="102" t="s">
        <v>136</v>
      </c>
      <c r="T67" s="38" t="str">
        <f t="shared" si="5"/>
        <v>0.00</v>
      </c>
      <c r="U67" s="38">
        <f t="shared" si="18"/>
        <v>-0.5</v>
      </c>
      <c r="V67" s="38">
        <f t="shared" si="19"/>
        <v>-9.4881999999999991</v>
      </c>
      <c r="W67" s="38">
        <f t="shared" si="20"/>
        <v>32.5</v>
      </c>
      <c r="X67" s="39">
        <f t="shared" si="21"/>
        <v>-0.29194461538461536</v>
      </c>
      <c r="Y67" s="40">
        <f t="shared" si="22"/>
        <v>-9.4881999999999994E-2</v>
      </c>
      <c r="Z67" s="41">
        <f t="shared" si="23"/>
        <v>-948.81999999999994</v>
      </c>
      <c r="AA67" s="13" t="s">
        <v>57</v>
      </c>
      <c r="AT67" s="37">
        <v>17.2</v>
      </c>
      <c r="AU67" s="37">
        <v>15</v>
      </c>
      <c r="AV67" s="10">
        <f t="shared" si="12"/>
        <v>11.965</v>
      </c>
      <c r="AW67" s="10">
        <f t="shared" si="122"/>
        <v>23.015599999999999</v>
      </c>
      <c r="AZ67" t="str">
        <f t="shared" si="123"/>
        <v>Yes</v>
      </c>
      <c r="BB67" s="37">
        <f t="shared" si="124"/>
        <v>-0.5</v>
      </c>
      <c r="BC67" s="37">
        <f t="shared" ref="BC67:BC98" si="127">SUMIFS(
  $BB:$BB,
  $A:$A,$A67,
  $H:$H,$H67,
  $I:$I,$I67
)</f>
        <v>-1.5</v>
      </c>
      <c r="BD67" s="37">
        <f t="shared" si="125"/>
        <v>-1.5</v>
      </c>
      <c r="BE67" s="37">
        <f t="shared" si="126"/>
        <v>-0.5</v>
      </c>
      <c r="BF67" s="13" cm="1">
        <f t="array" ref="BF67">SUMPRODUCT((1/COUNTIFS($A$3:$A67,$A$3:$A67,$H$3:$H67,$H$3:$H67,$I$3:$I67,$I$3:$I67)))</f>
        <v>30</v>
      </c>
      <c r="BG67" s="13">
        <v>2</v>
      </c>
      <c r="BH67" s="12">
        <f t="shared" si="29"/>
        <v>6.6666666666666666E-2</v>
      </c>
    </row>
    <row r="68" spans="1:60" x14ac:dyDescent="0.2">
      <c r="A68" s="91">
        <v>46277</v>
      </c>
      <c r="C68" s="37">
        <v>10.46</v>
      </c>
      <c r="D68" s="13" t="s">
        <v>205</v>
      </c>
      <c r="E68" s="13" t="s">
        <v>142</v>
      </c>
      <c r="H68" t="s">
        <v>140</v>
      </c>
      <c r="I68" s="13">
        <v>4</v>
      </c>
      <c r="J68" s="13">
        <v>6</v>
      </c>
      <c r="K68" t="s">
        <v>227</v>
      </c>
      <c r="L68" s="37">
        <v>0.5</v>
      </c>
      <c r="M68" s="37">
        <v>17</v>
      </c>
      <c r="N68" s="37">
        <v>19.07</v>
      </c>
      <c r="O68" s="37" t="s">
        <v>17</v>
      </c>
      <c r="Q68" s="13" t="s">
        <v>4</v>
      </c>
      <c r="R68" s="37">
        <v>17.624400000000001</v>
      </c>
      <c r="S68" s="102" t="s">
        <v>136</v>
      </c>
      <c r="T68" s="38" t="str">
        <f t="shared" si="5"/>
        <v>0.00</v>
      </c>
      <c r="U68" s="38">
        <f t="shared" si="18"/>
        <v>-0.5</v>
      </c>
      <c r="V68" s="38">
        <f t="shared" si="19"/>
        <v>-9.9881999999999991</v>
      </c>
      <c r="W68" s="38">
        <f t="shared" si="20"/>
        <v>33</v>
      </c>
      <c r="X68" s="39">
        <f t="shared" si="21"/>
        <v>-0.30267272727272726</v>
      </c>
      <c r="Y68" s="40">
        <f t="shared" si="22"/>
        <v>-9.9881999999999985E-2</v>
      </c>
      <c r="Z68" s="41">
        <f t="shared" si="23"/>
        <v>-998.81999999999994</v>
      </c>
      <c r="AA68" s="13" t="s">
        <v>57</v>
      </c>
      <c r="AT68" s="37">
        <v>15</v>
      </c>
      <c r="AU68" s="37">
        <v>16</v>
      </c>
      <c r="AV68" s="10">
        <f t="shared" si="12"/>
        <v>9.0350000000000001</v>
      </c>
      <c r="AW68" s="10">
        <f t="shared" si="122"/>
        <v>17.624400000000001</v>
      </c>
      <c r="AZ68" t="str">
        <f t="shared" si="123"/>
        <v>Yes</v>
      </c>
      <c r="BB68" s="37">
        <f t="shared" si="124"/>
        <v>-0.5</v>
      </c>
      <c r="BC68" s="37">
        <f t="shared" si="127"/>
        <v>-1.5</v>
      </c>
      <c r="BD68" s="37">
        <f t="shared" si="125"/>
        <v>-1.5</v>
      </c>
      <c r="BE68" s="37">
        <f t="shared" si="126"/>
        <v>-0.5</v>
      </c>
      <c r="BF68" s="13" cm="1">
        <f t="array" ref="BF68">SUMPRODUCT((1/COUNTIFS($A$3:$A68,$A$3:$A68,$H$3:$H68,$H$3:$H68,$I$3:$I68,$I$3:$I68)))</f>
        <v>29.999999999999996</v>
      </c>
      <c r="BG68" s="13">
        <v>2</v>
      </c>
      <c r="BH68" s="12">
        <f t="shared" si="29"/>
        <v>6.666666666666668E-2</v>
      </c>
    </row>
    <row r="69" spans="1:60" x14ac:dyDescent="0.2">
      <c r="A69" s="91">
        <v>46277</v>
      </c>
      <c r="C69" s="37">
        <v>10.46</v>
      </c>
      <c r="D69" s="13" t="s">
        <v>205</v>
      </c>
      <c r="E69" s="13" t="s">
        <v>134</v>
      </c>
      <c r="H69" t="s">
        <v>139</v>
      </c>
      <c r="I69" s="13">
        <v>4</v>
      </c>
      <c r="J69" s="13">
        <v>1</v>
      </c>
      <c r="K69" t="s">
        <v>228</v>
      </c>
      <c r="L69" s="37">
        <v>0.5</v>
      </c>
      <c r="M69" s="37">
        <v>38</v>
      </c>
      <c r="N69" s="37">
        <v>38</v>
      </c>
      <c r="O69" s="37" t="s">
        <v>17</v>
      </c>
      <c r="Q69" s="13" t="s">
        <v>4</v>
      </c>
      <c r="R69" s="37">
        <v>35.04</v>
      </c>
      <c r="S69" s="102" t="s">
        <v>136</v>
      </c>
      <c r="T69" s="38" t="str">
        <f t="shared" ref="T69:T132" si="128">IF(($AA69="W"),ROUND(($L69*$R69),2),"0.00")</f>
        <v>0.00</v>
      </c>
      <c r="U69" s="38">
        <f t="shared" si="18"/>
        <v>-0.5</v>
      </c>
      <c r="V69" s="38">
        <f t="shared" si="19"/>
        <v>-10.488199999999999</v>
      </c>
      <c r="W69" s="38">
        <f t="shared" si="20"/>
        <v>33.5</v>
      </c>
      <c r="X69" s="39">
        <f t="shared" si="21"/>
        <v>-0.31308059701492535</v>
      </c>
      <c r="Y69" s="40">
        <f t="shared" si="22"/>
        <v>-0.10488199999999999</v>
      </c>
      <c r="Z69" s="41">
        <f t="shared" si="23"/>
        <v>-1048.82</v>
      </c>
      <c r="AA69" s="13" t="s">
        <v>57</v>
      </c>
      <c r="AT69" s="37">
        <v>34</v>
      </c>
      <c r="AU69" s="37">
        <v>31</v>
      </c>
      <c r="AV69" s="10">
        <f t="shared" ref="AV69:AV132" si="129">((N69*(L69))-(L69))</f>
        <v>18.5</v>
      </c>
      <c r="AW69" s="10">
        <f t="shared" ref="AW69:AW73" si="130">0.92*(N69-1)+1</f>
        <v>35.04</v>
      </c>
      <c r="AZ69" t="str">
        <f t="shared" ref="AZ69:AZ73" si="131">IF(N69&gt;=M69,"Yes","No")</f>
        <v>Yes</v>
      </c>
      <c r="BB69" s="37">
        <f t="shared" ref="BB69:BB73" si="132">IF(AA69="W",
   L69*(N69-1),
   -L69
)</f>
        <v>-0.5</v>
      </c>
      <c r="BC69" s="37">
        <f t="shared" si="127"/>
        <v>-2.5</v>
      </c>
      <c r="BD69" s="37">
        <f t="shared" ref="BD69:BD73" si="133">IF(BC69&gt;0, BC69*0.92, BC69)</f>
        <v>-2.5</v>
      </c>
      <c r="BE69" s="37">
        <f t="shared" ref="BE69:BE73" si="134">IF(
  BC69&gt;0,
  IF(
    AA69="W",
    BB69 - (BC69 - BD69),
    BB69
  ),
  BB69
)</f>
        <v>-0.5</v>
      </c>
      <c r="BF69" s="13" cm="1">
        <f t="array" ref="BF69">SUMPRODUCT((1/COUNTIFS($A$3:$A69,$A$3:$A69,$H$3:$H69,$H$3:$H69,$I$3:$I69,$I$3:$I69)))</f>
        <v>30.999999999999996</v>
      </c>
      <c r="BG69" s="13">
        <v>2</v>
      </c>
      <c r="BH69" s="12">
        <f t="shared" si="29"/>
        <v>6.4516129032258077E-2</v>
      </c>
    </row>
    <row r="70" spans="1:60" x14ac:dyDescent="0.2">
      <c r="A70" s="91">
        <v>46277</v>
      </c>
      <c r="C70" s="37">
        <v>10.46</v>
      </c>
      <c r="D70" s="13" t="s">
        <v>205</v>
      </c>
      <c r="E70" s="13" t="s">
        <v>134</v>
      </c>
      <c r="H70" t="s">
        <v>139</v>
      </c>
      <c r="I70" s="13">
        <v>4</v>
      </c>
      <c r="J70" s="13">
        <v>4</v>
      </c>
      <c r="K70" s="92" t="s">
        <v>230</v>
      </c>
      <c r="L70" s="37">
        <v>0.5</v>
      </c>
      <c r="M70" s="37">
        <v>27</v>
      </c>
      <c r="N70" s="37">
        <v>38.54</v>
      </c>
      <c r="O70" s="37" t="s">
        <v>17</v>
      </c>
      <c r="Q70" s="13" t="s">
        <v>4</v>
      </c>
      <c r="R70" s="37">
        <v>35.536799999999999</v>
      </c>
      <c r="S70" s="13">
        <v>3</v>
      </c>
      <c r="T70" s="38" t="str">
        <f t="shared" si="128"/>
        <v>0.00</v>
      </c>
      <c r="U70" s="38">
        <f t="shared" ref="U70:U133" si="135">BE70</f>
        <v>-0.5</v>
      </c>
      <c r="V70" s="38">
        <f t="shared" ref="V70:V133" si="136">V69+U70</f>
        <v>-10.988199999999999</v>
      </c>
      <c r="W70" s="38">
        <f t="shared" ref="W70:W133" si="137">W69+L70</f>
        <v>34</v>
      </c>
      <c r="X70" s="39">
        <f t="shared" ref="X70:X133" si="138">SUM(V70/W70)</f>
        <v>-0.32318235294117642</v>
      </c>
      <c r="Y70" s="40">
        <f t="shared" ref="Y70:Y133" si="139">V70/100</f>
        <v>-0.10988199999999999</v>
      </c>
      <c r="Z70" s="41">
        <f t="shared" ref="Z70:Z133" si="140">V70*100</f>
        <v>-1098.82</v>
      </c>
      <c r="AA70" s="13" t="s">
        <v>57</v>
      </c>
      <c r="AT70" s="37">
        <v>30.5</v>
      </c>
      <c r="AU70" s="37">
        <v>31</v>
      </c>
      <c r="AV70" s="10">
        <f t="shared" si="129"/>
        <v>18.77</v>
      </c>
      <c r="AW70" s="10">
        <f t="shared" si="130"/>
        <v>35.536799999999999</v>
      </c>
      <c r="AZ70" t="str">
        <f t="shared" si="131"/>
        <v>Yes</v>
      </c>
      <c r="BB70" s="37">
        <f t="shared" si="132"/>
        <v>-0.5</v>
      </c>
      <c r="BC70" s="37">
        <f t="shared" si="127"/>
        <v>-2.5</v>
      </c>
      <c r="BD70" s="37">
        <f t="shared" si="133"/>
        <v>-2.5</v>
      </c>
      <c r="BE70" s="37">
        <f t="shared" si="134"/>
        <v>-0.5</v>
      </c>
      <c r="BF70" s="13" cm="1">
        <f t="array" ref="BF70">SUMPRODUCT((1/COUNTIFS($A$3:$A70,$A$3:$A70,$H$3:$H70,$H$3:$H70,$I$3:$I70,$I$3:$I70)))</f>
        <v>30.999999999999996</v>
      </c>
      <c r="BG70" s="13">
        <v>2</v>
      </c>
      <c r="BH70" s="12">
        <f t="shared" si="29"/>
        <v>6.4516129032258077E-2</v>
      </c>
    </row>
    <row r="71" spans="1:60" x14ac:dyDescent="0.2">
      <c r="A71" s="91">
        <v>46277</v>
      </c>
      <c r="C71" s="37">
        <v>10.46</v>
      </c>
      <c r="D71" s="13" t="s">
        <v>205</v>
      </c>
      <c r="E71" s="13" t="s">
        <v>134</v>
      </c>
      <c r="H71" t="s">
        <v>139</v>
      </c>
      <c r="I71" s="13">
        <v>4</v>
      </c>
      <c r="J71" s="13">
        <v>5</v>
      </c>
      <c r="K71" t="s">
        <v>231</v>
      </c>
      <c r="L71" s="37">
        <v>0.5</v>
      </c>
      <c r="M71" s="37">
        <v>15</v>
      </c>
      <c r="N71" s="37">
        <v>29.49</v>
      </c>
      <c r="O71" s="37" t="s">
        <v>17</v>
      </c>
      <c r="Q71" s="13" t="s">
        <v>4</v>
      </c>
      <c r="R71" s="37">
        <v>27.210799999999999</v>
      </c>
      <c r="S71" s="102" t="s">
        <v>136</v>
      </c>
      <c r="T71" s="38" t="str">
        <f t="shared" si="128"/>
        <v>0.00</v>
      </c>
      <c r="U71" s="38">
        <f t="shared" si="135"/>
        <v>-0.5</v>
      </c>
      <c r="V71" s="38">
        <f t="shared" si="136"/>
        <v>-11.488199999999999</v>
      </c>
      <c r="W71" s="38">
        <f t="shared" si="137"/>
        <v>34.5</v>
      </c>
      <c r="X71" s="39">
        <f t="shared" si="138"/>
        <v>-0.33299130434782603</v>
      </c>
      <c r="Y71" s="40">
        <f t="shared" si="139"/>
        <v>-0.11488199999999998</v>
      </c>
      <c r="Z71" s="41">
        <f t="shared" si="140"/>
        <v>-1148.82</v>
      </c>
      <c r="AA71" s="13" t="s">
        <v>57</v>
      </c>
      <c r="AT71" s="37">
        <v>17</v>
      </c>
      <c r="AU71" s="37">
        <v>19</v>
      </c>
      <c r="AV71" s="10">
        <f t="shared" si="129"/>
        <v>14.244999999999999</v>
      </c>
      <c r="AW71" s="10">
        <f t="shared" si="130"/>
        <v>27.210799999999999</v>
      </c>
      <c r="AZ71" t="str">
        <f t="shared" si="131"/>
        <v>Yes</v>
      </c>
      <c r="BB71" s="37">
        <f t="shared" si="132"/>
        <v>-0.5</v>
      </c>
      <c r="BC71" s="37">
        <f t="shared" si="127"/>
        <v>-2.5</v>
      </c>
      <c r="BD71" s="37">
        <f t="shared" si="133"/>
        <v>-2.5</v>
      </c>
      <c r="BE71" s="37">
        <f t="shared" si="134"/>
        <v>-0.5</v>
      </c>
      <c r="BF71" s="13" cm="1">
        <f t="array" ref="BF71">SUMPRODUCT((1/COUNTIFS($A$3:$A71,$A$3:$A71,$H$3:$H71,$H$3:$H71,$I$3:$I71,$I$3:$I71)))</f>
        <v>30.999999999999993</v>
      </c>
      <c r="BG71" s="13">
        <v>2</v>
      </c>
      <c r="BH71" s="12">
        <f t="shared" si="29"/>
        <v>6.4516129032258077E-2</v>
      </c>
    </row>
    <row r="72" spans="1:60" x14ac:dyDescent="0.2">
      <c r="A72" s="91">
        <v>46277</v>
      </c>
      <c r="C72" s="37">
        <v>10.46</v>
      </c>
      <c r="D72" s="13" t="s">
        <v>205</v>
      </c>
      <c r="E72" s="13" t="s">
        <v>134</v>
      </c>
      <c r="H72" t="s">
        <v>139</v>
      </c>
      <c r="I72" s="13">
        <v>4</v>
      </c>
      <c r="J72" s="13">
        <v>8</v>
      </c>
      <c r="K72" t="s">
        <v>232</v>
      </c>
      <c r="L72" s="37">
        <v>0.5</v>
      </c>
      <c r="M72" s="37">
        <v>11</v>
      </c>
      <c r="N72" s="37">
        <v>11</v>
      </c>
      <c r="O72" s="37" t="s">
        <v>17</v>
      </c>
      <c r="Q72" s="13" t="s">
        <v>4</v>
      </c>
      <c r="R72" s="37">
        <v>10.200000000000001</v>
      </c>
      <c r="S72" s="102" t="s">
        <v>136</v>
      </c>
      <c r="T72" s="38" t="str">
        <f t="shared" si="128"/>
        <v>0.00</v>
      </c>
      <c r="U72" s="38">
        <f t="shared" si="135"/>
        <v>-0.5</v>
      </c>
      <c r="V72" s="38">
        <f t="shared" si="136"/>
        <v>-11.988199999999999</v>
      </c>
      <c r="W72" s="38">
        <f t="shared" si="137"/>
        <v>35</v>
      </c>
      <c r="X72" s="39">
        <f t="shared" si="138"/>
        <v>-0.34251999999999999</v>
      </c>
      <c r="Y72" s="40">
        <f t="shared" si="139"/>
        <v>-0.11988199999999999</v>
      </c>
      <c r="Z72" s="41">
        <f t="shared" si="140"/>
        <v>-1198.82</v>
      </c>
      <c r="AA72" s="13" t="s">
        <v>57</v>
      </c>
      <c r="AT72" s="37">
        <v>9.5</v>
      </c>
      <c r="AU72" s="37">
        <v>10</v>
      </c>
      <c r="AV72" s="10">
        <f t="shared" si="129"/>
        <v>5</v>
      </c>
      <c r="AW72" s="10">
        <f t="shared" si="130"/>
        <v>10.200000000000001</v>
      </c>
      <c r="AZ72" t="str">
        <f t="shared" si="131"/>
        <v>Yes</v>
      </c>
      <c r="BB72" s="37">
        <f t="shared" si="132"/>
        <v>-0.5</v>
      </c>
      <c r="BC72" s="37">
        <f t="shared" si="127"/>
        <v>-2.5</v>
      </c>
      <c r="BD72" s="37">
        <f t="shared" si="133"/>
        <v>-2.5</v>
      </c>
      <c r="BE72" s="37">
        <f t="shared" si="134"/>
        <v>-0.5</v>
      </c>
      <c r="BF72" s="13" cm="1">
        <f t="array" ref="BF72">SUMPRODUCT((1/COUNTIFS($A$3:$A72,$A$3:$A72,$H$3:$H72,$H$3:$H72,$I$3:$I72,$I$3:$I72)))</f>
        <v>30.999999999999996</v>
      </c>
      <c r="BG72" s="13">
        <v>2</v>
      </c>
      <c r="BH72" s="12">
        <f t="shared" si="29"/>
        <v>6.4516129032258077E-2</v>
      </c>
    </row>
    <row r="73" spans="1:60" x14ac:dyDescent="0.2">
      <c r="A73" s="91">
        <v>46277</v>
      </c>
      <c r="C73" s="37">
        <v>10.46</v>
      </c>
      <c r="D73" s="13" t="s">
        <v>205</v>
      </c>
      <c r="E73" s="13" t="s">
        <v>134</v>
      </c>
      <c r="H73" t="s">
        <v>139</v>
      </c>
      <c r="I73" s="13">
        <v>4</v>
      </c>
      <c r="J73" s="13">
        <v>9</v>
      </c>
      <c r="K73" t="s">
        <v>233</v>
      </c>
      <c r="L73" s="37">
        <v>0.5</v>
      </c>
      <c r="M73" s="37">
        <v>25</v>
      </c>
      <c r="N73" s="37">
        <v>25.67</v>
      </c>
      <c r="O73" s="37" t="s">
        <v>17</v>
      </c>
      <c r="Q73" s="13" t="s">
        <v>4</v>
      </c>
      <c r="R73" s="37">
        <v>23.696400000000004</v>
      </c>
      <c r="S73" s="102" t="s">
        <v>136</v>
      </c>
      <c r="T73" s="38" t="str">
        <f t="shared" si="128"/>
        <v>0.00</v>
      </c>
      <c r="U73" s="38">
        <f t="shared" si="135"/>
        <v>-0.5</v>
      </c>
      <c r="V73" s="38">
        <f t="shared" si="136"/>
        <v>-12.488199999999999</v>
      </c>
      <c r="W73" s="38">
        <f t="shared" si="137"/>
        <v>35.5</v>
      </c>
      <c r="X73" s="39">
        <f t="shared" si="138"/>
        <v>-0.35178028169014081</v>
      </c>
      <c r="Y73" s="40">
        <f t="shared" si="139"/>
        <v>-0.12488199999999999</v>
      </c>
      <c r="Z73" s="41">
        <f t="shared" si="140"/>
        <v>-1248.82</v>
      </c>
      <c r="AA73" s="13" t="s">
        <v>57</v>
      </c>
      <c r="AT73" s="37">
        <v>22.8</v>
      </c>
      <c r="AU73" s="37">
        <v>26</v>
      </c>
      <c r="AV73" s="10">
        <f t="shared" si="129"/>
        <v>12.335000000000001</v>
      </c>
      <c r="AW73" s="10">
        <f t="shared" si="130"/>
        <v>23.696400000000004</v>
      </c>
      <c r="AZ73" t="str">
        <f t="shared" si="131"/>
        <v>Yes</v>
      </c>
      <c r="BB73" s="37">
        <f t="shared" si="132"/>
        <v>-0.5</v>
      </c>
      <c r="BC73" s="37">
        <f t="shared" si="127"/>
        <v>-2.5</v>
      </c>
      <c r="BD73" s="37">
        <f t="shared" si="133"/>
        <v>-2.5</v>
      </c>
      <c r="BE73" s="37">
        <f t="shared" si="134"/>
        <v>-0.5</v>
      </c>
      <c r="BF73" s="13" cm="1">
        <f t="array" ref="BF73">SUMPRODUCT((1/COUNTIFS($A$3:$A73,$A$3:$A73,$H$3:$H73,$H$3:$H73,$I$3:$I73,$I$3:$I73)))</f>
        <v>30.999999999999993</v>
      </c>
      <c r="BG73" s="13">
        <v>2</v>
      </c>
      <c r="BH73" s="12">
        <f t="shared" si="29"/>
        <v>6.4516129032258077E-2</v>
      </c>
    </row>
    <row r="74" spans="1:60" x14ac:dyDescent="0.2">
      <c r="A74" s="91">
        <v>46277</v>
      </c>
      <c r="C74" s="37">
        <v>10.46</v>
      </c>
      <c r="D74" s="13" t="s">
        <v>205</v>
      </c>
      <c r="E74" s="13" t="s">
        <v>142</v>
      </c>
      <c r="H74" t="s">
        <v>140</v>
      </c>
      <c r="I74" s="13">
        <v>5</v>
      </c>
      <c r="J74" s="13">
        <v>14</v>
      </c>
      <c r="K74" t="s">
        <v>234</v>
      </c>
      <c r="L74" s="37">
        <v>0.5</v>
      </c>
      <c r="M74" s="37">
        <v>27</v>
      </c>
      <c r="N74" s="37">
        <v>29</v>
      </c>
      <c r="O74" s="37" t="s">
        <v>17</v>
      </c>
      <c r="Q74" s="13" t="s">
        <v>4</v>
      </c>
      <c r="R74" s="37">
        <v>26.76</v>
      </c>
      <c r="S74" s="102" t="s">
        <v>136</v>
      </c>
      <c r="T74" s="38" t="str">
        <f t="shared" si="128"/>
        <v>0.00</v>
      </c>
      <c r="U74" s="38">
        <f t="shared" si="135"/>
        <v>-0.5</v>
      </c>
      <c r="V74" s="38">
        <f t="shared" si="136"/>
        <v>-12.988199999999999</v>
      </c>
      <c r="W74" s="38">
        <f t="shared" si="137"/>
        <v>36</v>
      </c>
      <c r="X74" s="39">
        <f t="shared" si="138"/>
        <v>-0.36078333333333329</v>
      </c>
      <c r="Y74" s="40">
        <f t="shared" si="139"/>
        <v>-0.129882</v>
      </c>
      <c r="Z74" s="41">
        <f t="shared" si="140"/>
        <v>-1298.82</v>
      </c>
      <c r="AA74" s="13" t="s">
        <v>57</v>
      </c>
      <c r="AT74" s="37">
        <v>26</v>
      </c>
      <c r="AU74" s="37">
        <v>26</v>
      </c>
      <c r="AV74" s="10">
        <f t="shared" si="129"/>
        <v>14</v>
      </c>
      <c r="AW74" s="10">
        <f t="shared" ref="AW74" si="141">0.92*(N74-1)+1</f>
        <v>26.76</v>
      </c>
      <c r="AZ74" t="str">
        <f t="shared" ref="AZ74" si="142">IF(N74&gt;=M74,"Yes","No")</f>
        <v>Yes</v>
      </c>
      <c r="BB74" s="37">
        <f t="shared" ref="BB74" si="143">IF(AA74="W",
   L74*(N74-1),
   -L74
)</f>
        <v>-0.5</v>
      </c>
      <c r="BC74" s="37">
        <f t="shared" si="127"/>
        <v>-0.5</v>
      </c>
      <c r="BD74" s="37">
        <f t="shared" ref="BD74" si="144">IF(BC74&gt;0, BC74*0.92, BC74)</f>
        <v>-0.5</v>
      </c>
      <c r="BE74" s="37">
        <f t="shared" ref="BE74" si="145">IF(
  BC74&gt;0,
  IF(
    AA74="W",
    BB74 - (BC74 - BD74),
    BB74
  ),
  BB74
)</f>
        <v>-0.5</v>
      </c>
      <c r="BF74" s="13" cm="1">
        <f t="array" ref="BF74">SUMPRODUCT((1/COUNTIFS($A$3:$A74,$A$3:$A74,$H$3:$H74,$H$3:$H74,$I$3:$I74,$I$3:$I74)))</f>
        <v>31.999999999999993</v>
      </c>
      <c r="BG74" s="13">
        <v>2</v>
      </c>
      <c r="BH74" s="12">
        <f t="shared" si="29"/>
        <v>6.2500000000000014E-2</v>
      </c>
    </row>
    <row r="75" spans="1:60" x14ac:dyDescent="0.2">
      <c r="A75" s="91">
        <v>46277</v>
      </c>
      <c r="C75" s="37">
        <v>10.46</v>
      </c>
      <c r="D75" s="13" t="s">
        <v>205</v>
      </c>
      <c r="E75" s="13" t="s">
        <v>134</v>
      </c>
      <c r="H75" t="s">
        <v>139</v>
      </c>
      <c r="I75" s="13">
        <v>5</v>
      </c>
      <c r="J75" s="13">
        <v>3</v>
      </c>
      <c r="K75" t="s">
        <v>235</v>
      </c>
      <c r="L75" s="37">
        <v>0.5</v>
      </c>
      <c r="M75" s="37">
        <v>6.8</v>
      </c>
      <c r="N75" s="37">
        <v>8</v>
      </c>
      <c r="O75" s="37" t="s">
        <v>17</v>
      </c>
      <c r="Q75" s="13" t="s">
        <v>4</v>
      </c>
      <c r="R75" s="37">
        <v>7.44</v>
      </c>
      <c r="S75" s="102" t="s">
        <v>136</v>
      </c>
      <c r="T75" s="38" t="str">
        <f t="shared" si="128"/>
        <v>0.00</v>
      </c>
      <c r="U75" s="38">
        <f t="shared" si="135"/>
        <v>-0.5</v>
      </c>
      <c r="V75" s="38">
        <f t="shared" si="136"/>
        <v>-13.488199999999999</v>
      </c>
      <c r="W75" s="38">
        <f t="shared" si="137"/>
        <v>36.5</v>
      </c>
      <c r="X75" s="39">
        <f t="shared" si="138"/>
        <v>-0.36953972602739721</v>
      </c>
      <c r="Y75" s="40">
        <f t="shared" si="139"/>
        <v>-0.134882</v>
      </c>
      <c r="Z75" s="41">
        <f t="shared" si="140"/>
        <v>-1348.82</v>
      </c>
      <c r="AA75" s="13" t="s">
        <v>57</v>
      </c>
      <c r="AT75" s="37">
        <v>7</v>
      </c>
      <c r="AU75" s="37">
        <v>7</v>
      </c>
      <c r="AV75" s="10">
        <f t="shared" si="129"/>
        <v>3.5</v>
      </c>
      <c r="AW75" s="10">
        <f t="shared" ref="AW75:AW76" si="146">0.92*(N75-1)+1</f>
        <v>7.44</v>
      </c>
      <c r="AZ75" t="str">
        <f t="shared" ref="AZ75:AZ76" si="147">IF(N75&gt;=M75,"Yes","No")</f>
        <v>Yes</v>
      </c>
      <c r="BB75" s="37">
        <f t="shared" ref="BB75:BB76" si="148">IF(AA75="W",
   L75*(N75-1),
   -L75
)</f>
        <v>-0.5</v>
      </c>
      <c r="BC75" s="37">
        <f t="shared" si="127"/>
        <v>-1</v>
      </c>
      <c r="BD75" s="37">
        <f t="shared" ref="BD75:BD76" si="149">IF(BC75&gt;0, BC75*0.92, BC75)</f>
        <v>-1</v>
      </c>
      <c r="BE75" s="37">
        <f t="shared" ref="BE75:BE76" si="150">IF(
  BC75&gt;0,
  IF(
    AA75="W",
    BB75 - (BC75 - BD75),
    BB75
  ),
  BB75
)</f>
        <v>-0.5</v>
      </c>
      <c r="BF75" s="13" cm="1">
        <f t="array" ref="BF75">SUMPRODUCT((1/COUNTIFS($A$3:$A75,$A$3:$A75,$H$3:$H75,$H$3:$H75,$I$3:$I75,$I$3:$I75)))</f>
        <v>32.999999999999993</v>
      </c>
      <c r="BG75" s="13">
        <v>2</v>
      </c>
      <c r="BH75" s="12">
        <f t="shared" si="29"/>
        <v>6.0606060606060622E-2</v>
      </c>
    </row>
    <row r="76" spans="1:60" x14ac:dyDescent="0.2">
      <c r="A76" s="91">
        <v>46277</v>
      </c>
      <c r="C76" s="37">
        <v>10.46</v>
      </c>
      <c r="D76" s="13" t="s">
        <v>205</v>
      </c>
      <c r="E76" s="13" t="s">
        <v>134</v>
      </c>
      <c r="H76" t="s">
        <v>139</v>
      </c>
      <c r="I76" s="13">
        <v>5</v>
      </c>
      <c r="J76" s="13">
        <v>10</v>
      </c>
      <c r="K76" t="s">
        <v>237</v>
      </c>
      <c r="L76" s="37">
        <v>0.5</v>
      </c>
      <c r="M76" s="37">
        <v>7.4</v>
      </c>
      <c r="N76" s="37">
        <v>9.6</v>
      </c>
      <c r="O76" s="37" t="s">
        <v>17</v>
      </c>
      <c r="Q76" s="13" t="s">
        <v>4</v>
      </c>
      <c r="R76" s="37">
        <v>8.911999999999999</v>
      </c>
      <c r="S76" s="102" t="s">
        <v>136</v>
      </c>
      <c r="T76" s="38" t="str">
        <f t="shared" si="128"/>
        <v>0.00</v>
      </c>
      <c r="U76" s="38">
        <f t="shared" si="135"/>
        <v>-0.5</v>
      </c>
      <c r="V76" s="38">
        <f t="shared" si="136"/>
        <v>-13.988199999999999</v>
      </c>
      <c r="W76" s="38">
        <f t="shared" si="137"/>
        <v>37</v>
      </c>
      <c r="X76" s="39">
        <f t="shared" si="138"/>
        <v>-0.37805945945945946</v>
      </c>
      <c r="Y76" s="40">
        <f t="shared" si="139"/>
        <v>-0.13988199999999998</v>
      </c>
      <c r="Z76" s="41">
        <f t="shared" si="140"/>
        <v>-1398.82</v>
      </c>
      <c r="AA76" s="13" t="s">
        <v>57</v>
      </c>
      <c r="AT76" s="37">
        <v>8.6</v>
      </c>
      <c r="AU76" s="37">
        <v>8</v>
      </c>
      <c r="AV76" s="10">
        <f t="shared" si="129"/>
        <v>4.3</v>
      </c>
      <c r="AW76" s="10">
        <f t="shared" si="146"/>
        <v>8.911999999999999</v>
      </c>
      <c r="AZ76" t="str">
        <f t="shared" si="147"/>
        <v>Yes</v>
      </c>
      <c r="BB76" s="37">
        <f t="shared" si="148"/>
        <v>-0.5</v>
      </c>
      <c r="BC76" s="37">
        <f t="shared" si="127"/>
        <v>-1</v>
      </c>
      <c r="BD76" s="37">
        <f t="shared" si="149"/>
        <v>-1</v>
      </c>
      <c r="BE76" s="37">
        <f t="shared" si="150"/>
        <v>-0.5</v>
      </c>
      <c r="BF76" s="13" cm="1">
        <f t="array" ref="BF76">SUMPRODUCT((1/COUNTIFS($A$3:$A76,$A$3:$A76,$H$3:$H76,$H$3:$H76,$I$3:$I76,$I$3:$I76)))</f>
        <v>32.999999999999993</v>
      </c>
      <c r="BG76" s="13">
        <v>2</v>
      </c>
      <c r="BH76" s="12">
        <f t="shared" si="29"/>
        <v>6.0606060606060622E-2</v>
      </c>
    </row>
    <row r="77" spans="1:60" x14ac:dyDescent="0.2">
      <c r="A77" s="91">
        <v>46277</v>
      </c>
      <c r="C77" s="37">
        <v>10.46</v>
      </c>
      <c r="D77" s="13" t="s">
        <v>205</v>
      </c>
      <c r="E77" s="13" t="s">
        <v>134</v>
      </c>
      <c r="H77" t="s">
        <v>139</v>
      </c>
      <c r="I77" s="13">
        <v>6</v>
      </c>
      <c r="J77" s="13">
        <v>3</v>
      </c>
      <c r="K77" t="s">
        <v>238</v>
      </c>
      <c r="L77" s="37">
        <v>0.5</v>
      </c>
      <c r="M77" s="37">
        <v>11.5</v>
      </c>
      <c r="N77" s="37">
        <v>16</v>
      </c>
      <c r="O77" s="37" t="s">
        <v>17</v>
      </c>
      <c r="Q77" s="13" t="s">
        <v>4</v>
      </c>
      <c r="R77" s="37">
        <v>14.8</v>
      </c>
      <c r="S77" s="13" t="s">
        <v>136</v>
      </c>
      <c r="T77" s="38" t="str">
        <f t="shared" si="128"/>
        <v>0.00</v>
      </c>
      <c r="U77" s="38">
        <f t="shared" si="135"/>
        <v>-0.5</v>
      </c>
      <c r="V77" s="38">
        <f t="shared" si="136"/>
        <v>-14.488199999999999</v>
      </c>
      <c r="W77" s="38">
        <f t="shared" si="137"/>
        <v>37.5</v>
      </c>
      <c r="X77" s="39">
        <f t="shared" si="138"/>
        <v>-0.38635199999999997</v>
      </c>
      <c r="Y77" s="40">
        <f t="shared" si="139"/>
        <v>-0.14488199999999998</v>
      </c>
      <c r="Z77" s="41">
        <f t="shared" si="140"/>
        <v>-1448.82</v>
      </c>
      <c r="AA77" s="13" t="s">
        <v>57</v>
      </c>
      <c r="AT77" s="37">
        <v>11.7</v>
      </c>
      <c r="AU77" s="37">
        <v>12</v>
      </c>
      <c r="AV77" s="10">
        <f t="shared" si="129"/>
        <v>7.5</v>
      </c>
      <c r="AW77" s="10">
        <f t="shared" ref="AW77:AW79" si="151">0.92*(N77-1)+1</f>
        <v>14.8</v>
      </c>
      <c r="AZ77" t="str">
        <f t="shared" ref="AZ77:AZ79" si="152">IF(N77&gt;=M77,"Yes","No")</f>
        <v>Yes</v>
      </c>
      <c r="BB77" s="37">
        <f t="shared" ref="BB77:BB79" si="153">IF(AA77="W",
   L77*(N77-1),
   -L77
)</f>
        <v>-0.5</v>
      </c>
      <c r="BC77" s="37">
        <f t="shared" si="127"/>
        <v>8.2050000000000001</v>
      </c>
      <c r="BD77" s="37">
        <f t="shared" ref="BD77:BD79" si="154">IF(BC77&gt;0, BC77*0.92, BC77)</f>
        <v>7.5486000000000004</v>
      </c>
      <c r="BE77" s="37">
        <f t="shared" ref="BE77:BE79" si="155">IF(
  BC77&gt;0,
  IF(
    AA77="W",
    BB77 - (BC77 - BD77),
    BB77
  ),
  BB77
)</f>
        <v>-0.5</v>
      </c>
      <c r="BF77" s="13" cm="1">
        <f t="array" ref="BF77">SUMPRODUCT((1/COUNTIFS($A$3:$A77,$A$3:$A77,$H$3:$H77,$H$3:$H77,$I$3:$I77,$I$3:$I77)))</f>
        <v>33.999999999999993</v>
      </c>
      <c r="BG77" s="13">
        <v>2</v>
      </c>
      <c r="BH77" s="12">
        <f t="shared" si="29"/>
        <v>5.8823529411764719E-2</v>
      </c>
    </row>
    <row r="78" spans="1:60" x14ac:dyDescent="0.2">
      <c r="A78" s="91">
        <v>46277</v>
      </c>
      <c r="C78" s="37">
        <v>10.46</v>
      </c>
      <c r="D78" s="13" t="s">
        <v>205</v>
      </c>
      <c r="E78" s="13" t="s">
        <v>134</v>
      </c>
      <c r="H78" t="s">
        <v>139</v>
      </c>
      <c r="I78" s="13">
        <v>6</v>
      </c>
      <c r="J78" s="13">
        <v>7</v>
      </c>
      <c r="K78" s="101" t="s">
        <v>240</v>
      </c>
      <c r="L78" s="37">
        <v>0.5</v>
      </c>
      <c r="M78" s="37">
        <v>19</v>
      </c>
      <c r="N78" s="37">
        <v>19.41</v>
      </c>
      <c r="O78" s="37" t="s">
        <v>17</v>
      </c>
      <c r="Q78" s="13" t="s">
        <v>4</v>
      </c>
      <c r="R78" s="37">
        <v>17.937200000000001</v>
      </c>
      <c r="S78" s="13">
        <v>1</v>
      </c>
      <c r="T78" s="38">
        <f t="shared" si="128"/>
        <v>8.9700000000000006</v>
      </c>
      <c r="U78" s="38">
        <f t="shared" si="135"/>
        <v>8.5486000000000004</v>
      </c>
      <c r="V78" s="38">
        <f t="shared" si="136"/>
        <v>-5.9395999999999987</v>
      </c>
      <c r="W78" s="38">
        <f t="shared" si="137"/>
        <v>38</v>
      </c>
      <c r="X78" s="39">
        <f t="shared" si="138"/>
        <v>-0.1563052631578947</v>
      </c>
      <c r="Y78" s="40">
        <f t="shared" si="139"/>
        <v>-5.9395999999999984E-2</v>
      </c>
      <c r="Z78" s="41">
        <f t="shared" si="140"/>
        <v>-593.95999999999981</v>
      </c>
      <c r="AA78" s="13" t="s">
        <v>206</v>
      </c>
      <c r="AT78" s="37">
        <v>19.5</v>
      </c>
      <c r="AU78" s="37">
        <v>19</v>
      </c>
      <c r="AV78" s="10">
        <f t="shared" si="129"/>
        <v>9.2050000000000001</v>
      </c>
      <c r="AW78" s="10">
        <f t="shared" si="151"/>
        <v>17.937200000000001</v>
      </c>
      <c r="AZ78" t="str">
        <f t="shared" si="152"/>
        <v>Yes</v>
      </c>
      <c r="BB78" s="37">
        <f t="shared" si="153"/>
        <v>9.2050000000000001</v>
      </c>
      <c r="BC78" s="37">
        <f t="shared" si="127"/>
        <v>8.2050000000000001</v>
      </c>
      <c r="BD78" s="37">
        <f t="shared" si="154"/>
        <v>7.5486000000000004</v>
      </c>
      <c r="BE78" s="37">
        <f t="shared" si="155"/>
        <v>8.5486000000000004</v>
      </c>
      <c r="BF78" s="13" cm="1">
        <f t="array" ref="BF78">SUMPRODUCT((1/COUNTIFS($A$3:$A78,$A$3:$A78,$H$3:$H78,$H$3:$H78,$I$3:$I78,$I$3:$I78)))</f>
        <v>33.999999999999993</v>
      </c>
      <c r="BG78" s="13">
        <v>3</v>
      </c>
      <c r="BH78" s="12">
        <f t="shared" si="29"/>
        <v>8.8235294117647078E-2</v>
      </c>
    </row>
    <row r="79" spans="1:60" x14ac:dyDescent="0.2">
      <c r="A79" s="91">
        <v>46277</v>
      </c>
      <c r="C79" s="37">
        <v>10.46</v>
      </c>
      <c r="D79" s="13" t="s">
        <v>205</v>
      </c>
      <c r="E79" s="13" t="s">
        <v>134</v>
      </c>
      <c r="H79" t="s">
        <v>139</v>
      </c>
      <c r="I79" s="13">
        <v>6</v>
      </c>
      <c r="J79" s="13">
        <v>10</v>
      </c>
      <c r="K79" t="s">
        <v>241</v>
      </c>
      <c r="L79" s="37">
        <v>0.5</v>
      </c>
      <c r="M79" s="37">
        <v>30</v>
      </c>
      <c r="N79" s="37">
        <v>30</v>
      </c>
      <c r="O79" s="37" t="s">
        <v>17</v>
      </c>
      <c r="Q79" s="13" t="s">
        <v>4</v>
      </c>
      <c r="R79" s="37">
        <v>27.68</v>
      </c>
      <c r="S79" s="13" t="s">
        <v>136</v>
      </c>
      <c r="T79" s="38" t="str">
        <f t="shared" si="128"/>
        <v>0.00</v>
      </c>
      <c r="U79" s="38">
        <f t="shared" si="135"/>
        <v>-0.5</v>
      </c>
      <c r="V79" s="38">
        <f t="shared" si="136"/>
        <v>-6.4395999999999987</v>
      </c>
      <c r="W79" s="38">
        <f t="shared" si="137"/>
        <v>38.5</v>
      </c>
      <c r="X79" s="39">
        <f t="shared" si="138"/>
        <v>-0.16726233766233764</v>
      </c>
      <c r="Y79" s="40">
        <f t="shared" si="139"/>
        <v>-6.4395999999999981E-2</v>
      </c>
      <c r="Z79" s="41">
        <f t="shared" si="140"/>
        <v>-643.95999999999981</v>
      </c>
      <c r="AA79" s="13" t="s">
        <v>57</v>
      </c>
      <c r="AT79" s="37">
        <v>28.6</v>
      </c>
      <c r="AU79" s="37">
        <v>26</v>
      </c>
      <c r="AV79" s="10">
        <f t="shared" si="129"/>
        <v>14.5</v>
      </c>
      <c r="AW79" s="10">
        <f t="shared" si="151"/>
        <v>27.68</v>
      </c>
      <c r="AZ79" t="str">
        <f t="shared" si="152"/>
        <v>Yes</v>
      </c>
      <c r="BB79" s="37">
        <f t="shared" si="153"/>
        <v>-0.5</v>
      </c>
      <c r="BC79" s="37">
        <f t="shared" si="127"/>
        <v>8.2050000000000001</v>
      </c>
      <c r="BD79" s="37">
        <f t="shared" si="154"/>
        <v>7.5486000000000004</v>
      </c>
      <c r="BE79" s="37">
        <f t="shared" si="155"/>
        <v>-0.5</v>
      </c>
      <c r="BF79" s="13" cm="1">
        <f t="array" ref="BF79">SUMPRODUCT((1/COUNTIFS($A$3:$A79,$A$3:$A79,$H$3:$H79,$H$3:$H79,$I$3:$I79,$I$3:$I79)))</f>
        <v>34</v>
      </c>
      <c r="BG79" s="13">
        <v>3</v>
      </c>
      <c r="BH79" s="12">
        <f t="shared" si="29"/>
        <v>8.8235294117647065E-2</v>
      </c>
    </row>
    <row r="80" spans="1:60" x14ac:dyDescent="0.2">
      <c r="A80" s="91">
        <v>46277</v>
      </c>
      <c r="C80" s="37">
        <v>10.46</v>
      </c>
      <c r="D80" s="13" t="s">
        <v>205</v>
      </c>
      <c r="E80" s="13" t="s">
        <v>142</v>
      </c>
      <c r="H80" t="s">
        <v>140</v>
      </c>
      <c r="I80" s="13">
        <v>7</v>
      </c>
      <c r="J80" s="13">
        <v>10</v>
      </c>
      <c r="K80" t="s">
        <v>242</v>
      </c>
      <c r="L80" s="37">
        <v>0.5</v>
      </c>
      <c r="M80" s="37">
        <v>29</v>
      </c>
      <c r="N80" s="37">
        <v>35.770000000000003</v>
      </c>
      <c r="O80" s="37" t="s">
        <v>17</v>
      </c>
      <c r="Q80" s="13" t="s">
        <v>4</v>
      </c>
      <c r="R80" s="37">
        <v>32.988400000000006</v>
      </c>
      <c r="S80" s="13" t="s">
        <v>136</v>
      </c>
      <c r="T80" s="38" t="str">
        <f t="shared" si="128"/>
        <v>0.00</v>
      </c>
      <c r="U80" s="38">
        <f t="shared" si="135"/>
        <v>-0.5</v>
      </c>
      <c r="V80" s="38">
        <f t="shared" si="136"/>
        <v>-6.9395999999999987</v>
      </c>
      <c r="W80" s="38">
        <f t="shared" si="137"/>
        <v>39</v>
      </c>
      <c r="X80" s="39">
        <f t="shared" si="138"/>
        <v>-0.17793846153846152</v>
      </c>
      <c r="Y80" s="40">
        <f t="shared" si="139"/>
        <v>-6.9395999999999985E-2</v>
      </c>
      <c r="Z80" s="41">
        <f t="shared" si="140"/>
        <v>-693.95999999999981</v>
      </c>
      <c r="AA80" s="13" t="s">
        <v>57</v>
      </c>
      <c r="AT80" s="37">
        <v>27.1</v>
      </c>
      <c r="AU80" s="37">
        <v>21</v>
      </c>
      <c r="AV80" s="10">
        <f t="shared" si="129"/>
        <v>17.385000000000002</v>
      </c>
      <c r="AW80" s="10">
        <f t="shared" ref="AW80:AW83" si="156">0.92*(N80-1)+1</f>
        <v>32.988400000000006</v>
      </c>
      <c r="AZ80" t="str">
        <f t="shared" ref="AZ80:AZ83" si="157">IF(N80&gt;=M80,"Yes","No")</f>
        <v>Yes</v>
      </c>
      <c r="BB80" s="37">
        <f t="shared" ref="BB80:BB83" si="158">IF(AA80="W",
   L80*(N80-1),
   -L80
)</f>
        <v>-0.5</v>
      </c>
      <c r="BC80" s="37">
        <f t="shared" si="127"/>
        <v>-2</v>
      </c>
      <c r="BD80" s="37">
        <f t="shared" ref="BD80:BD83" si="159">IF(BC80&gt;0, BC80*0.92, BC80)</f>
        <v>-2</v>
      </c>
      <c r="BE80" s="37">
        <f t="shared" ref="BE80:BE83" si="160">IF(
  BC80&gt;0,
  IF(
    AA80="W",
    BB80 - (BC80 - BD80),
    BB80
  ),
  BB80
)</f>
        <v>-0.5</v>
      </c>
      <c r="BF80" s="13" cm="1">
        <f t="array" ref="BF80">SUMPRODUCT((1/COUNTIFS($A$3:$A80,$A$3:$A80,$H$3:$H80,$H$3:$H80,$I$3:$I80,$I$3:$I80)))</f>
        <v>35</v>
      </c>
      <c r="BG80" s="13">
        <v>3</v>
      </c>
      <c r="BH80" s="12">
        <f t="shared" si="29"/>
        <v>8.5714285714285715E-2</v>
      </c>
    </row>
    <row r="81" spans="1:60" x14ac:dyDescent="0.2">
      <c r="A81" s="91">
        <v>46277</v>
      </c>
      <c r="C81" s="37">
        <v>10.46</v>
      </c>
      <c r="D81" s="13" t="s">
        <v>205</v>
      </c>
      <c r="E81" s="13" t="s">
        <v>142</v>
      </c>
      <c r="H81" t="s">
        <v>140</v>
      </c>
      <c r="I81" s="13">
        <v>7</v>
      </c>
      <c r="J81" s="13">
        <v>11</v>
      </c>
      <c r="K81" t="s">
        <v>243</v>
      </c>
      <c r="L81" s="37">
        <v>0.5</v>
      </c>
      <c r="M81" s="37">
        <v>15</v>
      </c>
      <c r="N81" s="37">
        <v>19.010000000000002</v>
      </c>
      <c r="O81" s="37" t="s">
        <v>17</v>
      </c>
      <c r="Q81" s="13" t="s">
        <v>4</v>
      </c>
      <c r="R81" s="37">
        <v>17.569200000000002</v>
      </c>
      <c r="S81" s="13" t="s">
        <v>136</v>
      </c>
      <c r="T81" s="38" t="str">
        <f t="shared" si="128"/>
        <v>0.00</v>
      </c>
      <c r="U81" s="38">
        <f t="shared" si="135"/>
        <v>-0.5</v>
      </c>
      <c r="V81" s="38">
        <f t="shared" si="136"/>
        <v>-7.4395999999999987</v>
      </c>
      <c r="W81" s="38">
        <f t="shared" si="137"/>
        <v>39.5</v>
      </c>
      <c r="X81" s="39">
        <f t="shared" si="138"/>
        <v>-0.18834430379746833</v>
      </c>
      <c r="Y81" s="40">
        <f t="shared" si="139"/>
        <v>-7.439599999999999E-2</v>
      </c>
      <c r="Z81" s="41">
        <f t="shared" si="140"/>
        <v>-743.95999999999981</v>
      </c>
      <c r="AA81" s="13" t="s">
        <v>57</v>
      </c>
      <c r="AT81" s="37">
        <v>15.9</v>
      </c>
      <c r="AU81" s="37">
        <v>15</v>
      </c>
      <c r="AV81" s="10">
        <f t="shared" si="129"/>
        <v>9.0050000000000008</v>
      </c>
      <c r="AW81" s="10">
        <f t="shared" si="156"/>
        <v>17.569200000000002</v>
      </c>
      <c r="AZ81" t="str">
        <f t="shared" si="157"/>
        <v>Yes</v>
      </c>
      <c r="BB81" s="37">
        <f t="shared" si="158"/>
        <v>-0.5</v>
      </c>
      <c r="BC81" s="37">
        <f t="shared" si="127"/>
        <v>-2</v>
      </c>
      <c r="BD81" s="37">
        <f t="shared" si="159"/>
        <v>-2</v>
      </c>
      <c r="BE81" s="37">
        <f t="shared" si="160"/>
        <v>-0.5</v>
      </c>
      <c r="BF81" s="13" cm="1">
        <f t="array" ref="BF81">SUMPRODUCT((1/COUNTIFS($A$3:$A81,$A$3:$A81,$H$3:$H81,$H$3:$H81,$I$3:$I81,$I$3:$I81)))</f>
        <v>35</v>
      </c>
      <c r="BG81" s="13">
        <v>3</v>
      </c>
      <c r="BH81" s="12">
        <f t="shared" ref="BH81:BH90" si="161">BG81/BF81</f>
        <v>8.5714285714285715E-2</v>
      </c>
    </row>
    <row r="82" spans="1:60" x14ac:dyDescent="0.2">
      <c r="A82" s="91">
        <v>46277</v>
      </c>
      <c r="C82" s="37">
        <v>10.46</v>
      </c>
      <c r="D82" s="13" t="s">
        <v>205</v>
      </c>
      <c r="E82" s="13" t="s">
        <v>142</v>
      </c>
      <c r="H82" t="s">
        <v>140</v>
      </c>
      <c r="I82" s="13">
        <v>7</v>
      </c>
      <c r="J82" s="13">
        <v>14</v>
      </c>
      <c r="K82" s="98" t="s">
        <v>244</v>
      </c>
      <c r="L82" s="37">
        <v>0.5</v>
      </c>
      <c r="M82" s="37">
        <v>14.5</v>
      </c>
      <c r="N82" s="37">
        <v>16.29</v>
      </c>
      <c r="O82" s="37" t="s">
        <v>17</v>
      </c>
      <c r="Q82" s="13" t="s">
        <v>4</v>
      </c>
      <c r="R82" s="37">
        <v>15.066800000000001</v>
      </c>
      <c r="S82" s="13">
        <v>4</v>
      </c>
      <c r="T82" s="38" t="str">
        <f t="shared" si="128"/>
        <v>0.00</v>
      </c>
      <c r="U82" s="38">
        <f t="shared" si="135"/>
        <v>-0.5</v>
      </c>
      <c r="V82" s="38">
        <f t="shared" si="136"/>
        <v>-7.9395999999999987</v>
      </c>
      <c r="W82" s="38">
        <f t="shared" si="137"/>
        <v>40</v>
      </c>
      <c r="X82" s="39">
        <f t="shared" si="138"/>
        <v>-0.19848999999999997</v>
      </c>
      <c r="Y82" s="40">
        <f t="shared" si="139"/>
        <v>-7.939599999999998E-2</v>
      </c>
      <c r="Z82" s="41">
        <f t="shared" si="140"/>
        <v>-793.95999999999981</v>
      </c>
      <c r="AA82" s="13" t="s">
        <v>57</v>
      </c>
      <c r="AT82" s="37">
        <v>16</v>
      </c>
      <c r="AU82" s="37">
        <v>16</v>
      </c>
      <c r="AV82" s="10">
        <f t="shared" si="129"/>
        <v>7.6449999999999996</v>
      </c>
      <c r="AW82" s="10">
        <f t="shared" si="156"/>
        <v>15.066800000000001</v>
      </c>
      <c r="AZ82" t="str">
        <f t="shared" si="157"/>
        <v>Yes</v>
      </c>
      <c r="BB82" s="37">
        <f t="shared" si="158"/>
        <v>-0.5</v>
      </c>
      <c r="BC82" s="37">
        <f t="shared" si="127"/>
        <v>-2</v>
      </c>
      <c r="BD82" s="37">
        <f t="shared" si="159"/>
        <v>-2</v>
      </c>
      <c r="BE82" s="37">
        <f t="shared" si="160"/>
        <v>-0.5</v>
      </c>
      <c r="BF82" s="13" cm="1">
        <f t="array" ref="BF82">SUMPRODUCT((1/COUNTIFS($A$3:$A82,$A$3:$A82,$H$3:$H82,$H$3:$H82,$I$3:$I82,$I$3:$I82)))</f>
        <v>35.000000000000007</v>
      </c>
      <c r="BG82" s="13">
        <v>3</v>
      </c>
      <c r="BH82" s="12">
        <f t="shared" si="161"/>
        <v>8.5714285714285701E-2</v>
      </c>
    </row>
    <row r="83" spans="1:60" x14ac:dyDescent="0.2">
      <c r="A83" s="91">
        <v>46277</v>
      </c>
      <c r="C83" s="37">
        <v>10.46</v>
      </c>
      <c r="D83" s="13" t="s">
        <v>205</v>
      </c>
      <c r="E83" s="13" t="s">
        <v>142</v>
      </c>
      <c r="H83" t="s">
        <v>140</v>
      </c>
      <c r="I83" s="13">
        <v>7</v>
      </c>
      <c r="J83" s="13">
        <v>16</v>
      </c>
      <c r="K83" t="s">
        <v>245</v>
      </c>
      <c r="L83" s="37">
        <v>0.5</v>
      </c>
      <c r="M83" s="37">
        <v>30</v>
      </c>
      <c r="N83" s="37">
        <v>33.86</v>
      </c>
      <c r="O83" s="37" t="s">
        <v>17</v>
      </c>
      <c r="Q83" s="13" t="s">
        <v>4</v>
      </c>
      <c r="R83" s="37">
        <v>31.231200000000001</v>
      </c>
      <c r="S83" s="13" t="s">
        <v>136</v>
      </c>
      <c r="T83" s="38" t="str">
        <f t="shared" si="128"/>
        <v>0.00</v>
      </c>
      <c r="U83" s="38">
        <f t="shared" si="135"/>
        <v>-0.5</v>
      </c>
      <c r="V83" s="38">
        <f t="shared" si="136"/>
        <v>-8.4395999999999987</v>
      </c>
      <c r="W83" s="38">
        <f t="shared" si="137"/>
        <v>40.5</v>
      </c>
      <c r="X83" s="39">
        <f t="shared" si="138"/>
        <v>-0.20838518518518515</v>
      </c>
      <c r="Y83" s="40">
        <f t="shared" si="139"/>
        <v>-8.4395999999999985E-2</v>
      </c>
      <c r="Z83" s="41">
        <f t="shared" si="140"/>
        <v>-843.95999999999981</v>
      </c>
      <c r="AA83" s="13" t="s">
        <v>57</v>
      </c>
      <c r="AT83" s="37">
        <v>34.9</v>
      </c>
      <c r="AU83" s="37">
        <v>26</v>
      </c>
      <c r="AV83" s="10">
        <f t="shared" si="129"/>
        <v>16.43</v>
      </c>
      <c r="AW83" s="10">
        <f t="shared" si="156"/>
        <v>31.231200000000001</v>
      </c>
      <c r="AZ83" t="str">
        <f t="shared" si="157"/>
        <v>Yes</v>
      </c>
      <c r="BB83" s="37">
        <f t="shared" si="158"/>
        <v>-0.5</v>
      </c>
      <c r="BC83" s="37">
        <f t="shared" si="127"/>
        <v>-2</v>
      </c>
      <c r="BD83" s="37">
        <f t="shared" si="159"/>
        <v>-2</v>
      </c>
      <c r="BE83" s="37">
        <f t="shared" si="160"/>
        <v>-0.5</v>
      </c>
      <c r="BF83" s="13" cm="1">
        <f t="array" ref="BF83">SUMPRODUCT((1/COUNTIFS($A$3:$A83,$A$3:$A83,$H$3:$H83,$H$3:$H83,$I$3:$I83,$I$3:$I83)))</f>
        <v>35</v>
      </c>
      <c r="BG83" s="13">
        <v>3</v>
      </c>
      <c r="BH83" s="12">
        <f t="shared" si="161"/>
        <v>8.5714285714285715E-2</v>
      </c>
    </row>
    <row r="84" spans="1:60" x14ac:dyDescent="0.2">
      <c r="A84" s="91">
        <v>46277</v>
      </c>
      <c r="C84" s="37">
        <v>10.46</v>
      </c>
      <c r="D84" s="13" t="s">
        <v>205</v>
      </c>
      <c r="E84" s="13" t="s">
        <v>134</v>
      </c>
      <c r="H84" t="s">
        <v>139</v>
      </c>
      <c r="I84" s="13">
        <v>7</v>
      </c>
      <c r="J84" s="13">
        <v>3</v>
      </c>
      <c r="K84" t="s">
        <v>247</v>
      </c>
      <c r="L84" s="37">
        <v>0.5</v>
      </c>
      <c r="M84" s="37">
        <v>6.2</v>
      </c>
      <c r="N84" s="37">
        <v>10.5</v>
      </c>
      <c r="O84" s="37" t="s">
        <v>17</v>
      </c>
      <c r="Q84" s="13" t="s">
        <v>4</v>
      </c>
      <c r="R84" s="37">
        <v>9.74</v>
      </c>
      <c r="S84" s="13" t="s">
        <v>136</v>
      </c>
      <c r="T84" s="38" t="str">
        <f t="shared" si="128"/>
        <v>0.00</v>
      </c>
      <c r="U84" s="38">
        <f t="shared" si="135"/>
        <v>-0.5</v>
      </c>
      <c r="V84" s="38">
        <f t="shared" si="136"/>
        <v>-8.9395999999999987</v>
      </c>
      <c r="W84" s="38">
        <f t="shared" si="137"/>
        <v>41</v>
      </c>
      <c r="X84" s="39">
        <f t="shared" si="138"/>
        <v>-0.21803902439024386</v>
      </c>
      <c r="Y84" s="40">
        <f t="shared" si="139"/>
        <v>-8.9395999999999989E-2</v>
      </c>
      <c r="Z84" s="41">
        <f t="shared" si="140"/>
        <v>-893.95999999999981</v>
      </c>
      <c r="AA84" s="13" t="s">
        <v>57</v>
      </c>
      <c r="AT84" s="37">
        <v>7.5</v>
      </c>
      <c r="AU84" s="37">
        <v>7.5</v>
      </c>
      <c r="AV84" s="10">
        <f t="shared" si="129"/>
        <v>4.75</v>
      </c>
      <c r="AW84" s="10">
        <f t="shared" ref="AW84:AW85" si="162">0.92*(N84-1)+1</f>
        <v>9.74</v>
      </c>
      <c r="AZ84" t="str">
        <f t="shared" ref="AZ84:AZ85" si="163">IF(N84&gt;=M84,"Yes","No")</f>
        <v>Yes</v>
      </c>
      <c r="BB84" s="37">
        <f t="shared" ref="BB84:BB85" si="164">IF(AA84="W",
   L84*(N84-1),
   -L84
)</f>
        <v>-0.5</v>
      </c>
      <c r="BC84" s="37">
        <f t="shared" si="127"/>
        <v>12</v>
      </c>
      <c r="BD84" s="37">
        <f t="shared" ref="BD84:BD85" si="165">IF(BC84&gt;0, BC84*0.92, BC84)</f>
        <v>11.040000000000001</v>
      </c>
      <c r="BE84" s="37">
        <f t="shared" ref="BE84:BE85" si="166">IF(
  BC84&gt;0,
  IF(
    AA84="W",
    BB84 - (BC84 - BD84),
    BB84
  ),
  BB84
)</f>
        <v>-0.5</v>
      </c>
      <c r="BF84" s="13" cm="1">
        <f t="array" ref="BF84">SUMPRODUCT((1/COUNTIFS($A$3:$A84,$A$3:$A84,$H$3:$H84,$H$3:$H84,$I$3:$I84,$I$3:$I84)))</f>
        <v>36</v>
      </c>
      <c r="BG84" s="13">
        <v>3</v>
      </c>
      <c r="BH84" s="12">
        <f t="shared" si="161"/>
        <v>8.3333333333333329E-2</v>
      </c>
    </row>
    <row r="85" spans="1:60" x14ac:dyDescent="0.2">
      <c r="A85" s="91">
        <v>46277</v>
      </c>
      <c r="C85" s="37">
        <v>10.46</v>
      </c>
      <c r="D85" s="13" t="s">
        <v>205</v>
      </c>
      <c r="E85" s="13" t="s">
        <v>134</v>
      </c>
      <c r="H85" t="s">
        <v>139</v>
      </c>
      <c r="I85" s="13">
        <v>7</v>
      </c>
      <c r="J85" s="13">
        <v>4</v>
      </c>
      <c r="K85" s="101" t="s">
        <v>248</v>
      </c>
      <c r="L85" s="37">
        <v>0.5</v>
      </c>
      <c r="M85" s="37">
        <v>17</v>
      </c>
      <c r="N85" s="37">
        <v>26</v>
      </c>
      <c r="O85" s="37" t="s">
        <v>17</v>
      </c>
      <c r="Q85" s="13" t="s">
        <v>4</v>
      </c>
      <c r="R85" s="37">
        <v>24</v>
      </c>
      <c r="S85" s="13">
        <v>1</v>
      </c>
      <c r="T85" s="38">
        <f t="shared" si="128"/>
        <v>12</v>
      </c>
      <c r="U85" s="38">
        <f t="shared" si="135"/>
        <v>11.540000000000001</v>
      </c>
      <c r="V85" s="38">
        <f t="shared" si="136"/>
        <v>2.6004000000000023</v>
      </c>
      <c r="W85" s="38">
        <f t="shared" si="137"/>
        <v>41.5</v>
      </c>
      <c r="X85" s="39">
        <f t="shared" si="138"/>
        <v>6.2660240963855474E-2</v>
      </c>
      <c r="Y85" s="40">
        <f t="shared" si="139"/>
        <v>2.6004000000000024E-2</v>
      </c>
      <c r="Z85" s="41">
        <f t="shared" si="140"/>
        <v>260.04000000000025</v>
      </c>
      <c r="AA85" s="13" t="s">
        <v>206</v>
      </c>
      <c r="AT85" s="37">
        <v>20.3</v>
      </c>
      <c r="AU85" s="37">
        <v>20</v>
      </c>
      <c r="AV85" s="10">
        <f t="shared" si="129"/>
        <v>12.5</v>
      </c>
      <c r="AW85" s="10">
        <f t="shared" si="162"/>
        <v>24</v>
      </c>
      <c r="AZ85" t="str">
        <f t="shared" si="163"/>
        <v>Yes</v>
      </c>
      <c r="BB85" s="37">
        <f t="shared" si="164"/>
        <v>12.5</v>
      </c>
      <c r="BC85" s="37">
        <f t="shared" si="127"/>
        <v>12</v>
      </c>
      <c r="BD85" s="37">
        <f t="shared" si="165"/>
        <v>11.040000000000001</v>
      </c>
      <c r="BE85" s="37">
        <f t="shared" si="166"/>
        <v>11.540000000000001</v>
      </c>
      <c r="BF85" s="13" cm="1">
        <f t="array" ref="BF85">SUMPRODUCT((1/COUNTIFS($A$3:$A85,$A$3:$A85,$H$3:$H85,$H$3:$H85,$I$3:$I85,$I$3:$I85)))</f>
        <v>36</v>
      </c>
      <c r="BG85" s="13">
        <v>4</v>
      </c>
      <c r="BH85" s="12">
        <f t="shared" si="161"/>
        <v>0.1111111111111111</v>
      </c>
    </row>
    <row r="86" spans="1:60" x14ac:dyDescent="0.2">
      <c r="A86" s="91">
        <v>46277</v>
      </c>
      <c r="C86" s="37">
        <v>10.46</v>
      </c>
      <c r="D86" s="13" t="s">
        <v>205</v>
      </c>
      <c r="E86" s="13" t="s">
        <v>142</v>
      </c>
      <c r="H86" t="s">
        <v>140</v>
      </c>
      <c r="I86" s="13">
        <v>8</v>
      </c>
      <c r="J86" s="13">
        <v>6</v>
      </c>
      <c r="K86" t="s">
        <v>251</v>
      </c>
      <c r="L86" s="37">
        <v>0.5</v>
      </c>
      <c r="M86" s="37">
        <v>16</v>
      </c>
      <c r="N86" s="37">
        <v>28.13</v>
      </c>
      <c r="O86" s="37" t="s">
        <v>17</v>
      </c>
      <c r="Q86" s="13" t="s">
        <v>4</v>
      </c>
      <c r="R86" s="37">
        <v>25.959600000000002</v>
      </c>
      <c r="S86" s="13" t="s">
        <v>136</v>
      </c>
      <c r="T86" s="38" t="str">
        <f t="shared" si="128"/>
        <v>0.00</v>
      </c>
      <c r="U86" s="38">
        <f t="shared" si="135"/>
        <v>-0.5</v>
      </c>
      <c r="V86" s="38">
        <f t="shared" si="136"/>
        <v>2.1004000000000023</v>
      </c>
      <c r="W86" s="38">
        <f t="shared" si="137"/>
        <v>42</v>
      </c>
      <c r="X86" s="39">
        <f t="shared" si="138"/>
        <v>5.0009523809523865E-2</v>
      </c>
      <c r="Y86" s="40">
        <f t="shared" si="139"/>
        <v>2.1004000000000023E-2</v>
      </c>
      <c r="Z86" s="41">
        <f t="shared" si="140"/>
        <v>210.04000000000022</v>
      </c>
      <c r="AA86" s="13" t="s">
        <v>57</v>
      </c>
      <c r="AT86" s="37">
        <v>24.9</v>
      </c>
      <c r="AU86" s="37">
        <v>21</v>
      </c>
      <c r="AV86" s="10">
        <f t="shared" si="129"/>
        <v>13.565</v>
      </c>
      <c r="AW86" s="10">
        <f t="shared" ref="AW86:AW87" si="167">0.92*(N86-1)+1</f>
        <v>25.959600000000002</v>
      </c>
      <c r="AZ86" t="str">
        <f t="shared" ref="AZ86:AZ87" si="168">IF(N86&gt;=M86,"Yes","No")</f>
        <v>Yes</v>
      </c>
      <c r="BB86" s="37">
        <f t="shared" ref="BB86:BB87" si="169">IF(AA86="W",
   L86*(N86-1),
   -L86
)</f>
        <v>-0.5</v>
      </c>
      <c r="BC86" s="37">
        <f t="shared" si="127"/>
        <v>-1</v>
      </c>
      <c r="BD86" s="37">
        <f t="shared" ref="BD86:BD87" si="170">IF(BC86&gt;0, BC86*0.92, BC86)</f>
        <v>-1</v>
      </c>
      <c r="BE86" s="37">
        <f t="shared" ref="BE86:BE87" si="171">IF(
  BC86&gt;0,
  IF(
    AA86="W",
    BB86 - (BC86 - BD86),
    BB86
  ),
  BB86
)</f>
        <v>-0.5</v>
      </c>
      <c r="BF86" s="13" cm="1">
        <f t="array" ref="BF86">SUMPRODUCT((1/COUNTIFS($A$3:$A86,$A$3:$A86,$H$3:$H86,$H$3:$H86,$I$3:$I86,$I$3:$I86)))</f>
        <v>37</v>
      </c>
      <c r="BG86" s="13">
        <v>4</v>
      </c>
      <c r="BH86" s="12">
        <f t="shared" si="161"/>
        <v>0.10810810810810811</v>
      </c>
    </row>
    <row r="87" spans="1:60" x14ac:dyDescent="0.2">
      <c r="A87" s="91">
        <v>46277</v>
      </c>
      <c r="C87" s="37">
        <v>10.46</v>
      </c>
      <c r="D87" s="13" t="s">
        <v>205</v>
      </c>
      <c r="E87" s="13" t="s">
        <v>142</v>
      </c>
      <c r="H87" t="s">
        <v>140</v>
      </c>
      <c r="I87" s="13">
        <v>8</v>
      </c>
      <c r="J87" s="13">
        <v>9</v>
      </c>
      <c r="K87" s="98" t="s">
        <v>253</v>
      </c>
      <c r="L87" s="37">
        <v>0.5</v>
      </c>
      <c r="M87" s="37">
        <v>16.5</v>
      </c>
      <c r="N87" s="37">
        <v>23.09</v>
      </c>
      <c r="O87" s="37" t="s">
        <v>17</v>
      </c>
      <c r="Q87" s="13" t="s">
        <v>4</v>
      </c>
      <c r="R87" s="37">
        <v>21.322800000000001</v>
      </c>
      <c r="S87" s="13">
        <v>4</v>
      </c>
      <c r="T87" s="38" t="str">
        <f t="shared" si="128"/>
        <v>0.00</v>
      </c>
      <c r="U87" s="38">
        <f t="shared" si="135"/>
        <v>-0.5</v>
      </c>
      <c r="V87" s="38">
        <f t="shared" si="136"/>
        <v>1.6004000000000023</v>
      </c>
      <c r="W87" s="38">
        <f t="shared" si="137"/>
        <v>42.5</v>
      </c>
      <c r="X87" s="39">
        <f t="shared" si="138"/>
        <v>3.7656470588235347E-2</v>
      </c>
      <c r="Y87" s="40">
        <f t="shared" si="139"/>
        <v>1.6004000000000022E-2</v>
      </c>
      <c r="Z87" s="41">
        <f t="shared" si="140"/>
        <v>160.04000000000022</v>
      </c>
      <c r="AA87" s="13" t="s">
        <v>57</v>
      </c>
      <c r="AT87" s="37">
        <v>20.3</v>
      </c>
      <c r="AU87" s="37">
        <v>19</v>
      </c>
      <c r="AV87" s="10">
        <f t="shared" si="129"/>
        <v>11.045</v>
      </c>
      <c r="AW87" s="10">
        <f t="shared" si="167"/>
        <v>21.322800000000001</v>
      </c>
      <c r="AZ87" t="str">
        <f t="shared" si="168"/>
        <v>Yes</v>
      </c>
      <c r="BB87" s="37">
        <f t="shared" si="169"/>
        <v>-0.5</v>
      </c>
      <c r="BC87" s="37">
        <f t="shared" si="127"/>
        <v>-1</v>
      </c>
      <c r="BD87" s="37">
        <f t="shared" si="170"/>
        <v>-1</v>
      </c>
      <c r="BE87" s="37">
        <f t="shared" si="171"/>
        <v>-0.5</v>
      </c>
      <c r="BF87" s="13" cm="1">
        <f t="array" ref="BF87">SUMPRODUCT((1/COUNTIFS($A$3:$A87,$A$3:$A87,$H$3:$H87,$H$3:$H87,$I$3:$I87,$I$3:$I87)))</f>
        <v>37</v>
      </c>
      <c r="BG87" s="13">
        <v>4</v>
      </c>
      <c r="BH87" s="12">
        <f t="shared" si="161"/>
        <v>0.10810810810810811</v>
      </c>
    </row>
    <row r="88" spans="1:60" x14ac:dyDescent="0.2">
      <c r="A88" s="91">
        <v>46277</v>
      </c>
      <c r="C88" s="37">
        <v>10.46</v>
      </c>
      <c r="D88" s="13" t="s">
        <v>205</v>
      </c>
      <c r="E88" s="13" t="s">
        <v>134</v>
      </c>
      <c r="H88" t="s">
        <v>139</v>
      </c>
      <c r="I88" s="13">
        <v>8</v>
      </c>
      <c r="J88" s="13">
        <v>1</v>
      </c>
      <c r="K88" t="s">
        <v>254</v>
      </c>
      <c r="L88" s="37">
        <v>0.5</v>
      </c>
      <c r="M88" s="37">
        <v>36</v>
      </c>
      <c r="N88" s="37">
        <v>47.6</v>
      </c>
      <c r="O88" s="37" t="s">
        <v>17</v>
      </c>
      <c r="Q88" s="13" t="s">
        <v>4</v>
      </c>
      <c r="R88" s="37">
        <v>43.872</v>
      </c>
      <c r="S88" s="13" t="s">
        <v>136</v>
      </c>
      <c r="T88" s="38" t="str">
        <f t="shared" si="128"/>
        <v>0.00</v>
      </c>
      <c r="U88" s="38">
        <f t="shared" si="135"/>
        <v>-0.5</v>
      </c>
      <c r="V88" s="38">
        <f t="shared" si="136"/>
        <v>1.1004000000000023</v>
      </c>
      <c r="W88" s="38">
        <f t="shared" si="137"/>
        <v>43</v>
      </c>
      <c r="X88" s="39">
        <f t="shared" si="138"/>
        <v>2.5590697674418659E-2</v>
      </c>
      <c r="Y88" s="40">
        <f t="shared" si="139"/>
        <v>1.1004000000000022E-2</v>
      </c>
      <c r="Z88" s="41">
        <f t="shared" si="140"/>
        <v>110.04000000000022</v>
      </c>
      <c r="AA88" s="13" t="s">
        <v>57</v>
      </c>
      <c r="AT88" s="37">
        <v>36.799999999999997</v>
      </c>
      <c r="AU88" s="37">
        <v>41</v>
      </c>
      <c r="AV88" s="10">
        <f t="shared" si="129"/>
        <v>23.3</v>
      </c>
      <c r="AW88" s="10">
        <f t="shared" ref="AW88:AW90" si="172">0.92*(N88-1)+1</f>
        <v>43.872</v>
      </c>
      <c r="AZ88" t="str">
        <f t="shared" ref="AZ88:AZ90" si="173">IF(N88&gt;=M88,"Yes","No")</f>
        <v>Yes</v>
      </c>
      <c r="BB88" s="37">
        <f t="shared" ref="BB88:BB90" si="174">IF(AA88="W",
   L88*(N88-1),
   -L88
)</f>
        <v>-0.5</v>
      </c>
      <c r="BC88" s="37">
        <f t="shared" si="127"/>
        <v>-1.5</v>
      </c>
      <c r="BD88" s="37">
        <f t="shared" ref="BD88:BD90" si="175">IF(BC88&gt;0, BC88*0.92, BC88)</f>
        <v>-1.5</v>
      </c>
      <c r="BE88" s="37">
        <f t="shared" ref="BE88:BE90" si="176">IF(
  BC88&gt;0,
  IF(
    AA88="W",
    BB88 - (BC88 - BD88),
    BB88
  ),
  BB88
)</f>
        <v>-0.5</v>
      </c>
      <c r="BF88" s="13" cm="1">
        <f t="array" ref="BF88">SUMPRODUCT((1/COUNTIFS($A$3:$A88,$A$3:$A88,$H$3:$H88,$H$3:$H88,$I$3:$I88,$I$3:$I88)))</f>
        <v>38</v>
      </c>
      <c r="BG88" s="13">
        <v>4</v>
      </c>
      <c r="BH88" s="12">
        <f t="shared" si="161"/>
        <v>0.10526315789473684</v>
      </c>
    </row>
    <row r="89" spans="1:60" x14ac:dyDescent="0.2">
      <c r="A89" s="91">
        <v>46277</v>
      </c>
      <c r="C89" s="37">
        <v>10.46</v>
      </c>
      <c r="D89" s="13" t="s">
        <v>205</v>
      </c>
      <c r="E89" s="13" t="s">
        <v>134</v>
      </c>
      <c r="H89" t="s">
        <v>139</v>
      </c>
      <c r="I89" s="13">
        <v>8</v>
      </c>
      <c r="J89" s="13">
        <v>2</v>
      </c>
      <c r="K89" t="s">
        <v>255</v>
      </c>
      <c r="L89" s="37">
        <v>0.5</v>
      </c>
      <c r="M89" s="37">
        <v>25</v>
      </c>
      <c r="N89" s="37">
        <v>40</v>
      </c>
      <c r="O89" s="37" t="s">
        <v>17</v>
      </c>
      <c r="Q89" s="13" t="s">
        <v>4</v>
      </c>
      <c r="R89" s="37">
        <v>36.880000000000003</v>
      </c>
      <c r="S89" s="13" t="s">
        <v>136</v>
      </c>
      <c r="T89" s="38" t="str">
        <f t="shared" si="128"/>
        <v>0.00</v>
      </c>
      <c r="U89" s="38">
        <f t="shared" si="135"/>
        <v>-0.5</v>
      </c>
      <c r="V89" s="38">
        <f t="shared" si="136"/>
        <v>0.60040000000000227</v>
      </c>
      <c r="W89" s="38">
        <f t="shared" si="137"/>
        <v>43.5</v>
      </c>
      <c r="X89" s="39">
        <f t="shared" si="138"/>
        <v>1.3802298850574764E-2</v>
      </c>
      <c r="Y89" s="40">
        <f t="shared" si="139"/>
        <v>6.0040000000000223E-3</v>
      </c>
      <c r="Z89" s="41">
        <f t="shared" si="140"/>
        <v>60.040000000000227</v>
      </c>
      <c r="AA89" s="13" t="s">
        <v>57</v>
      </c>
      <c r="AT89" s="37">
        <v>23</v>
      </c>
      <c r="AU89" s="37">
        <v>20</v>
      </c>
      <c r="AV89" s="10">
        <f t="shared" si="129"/>
        <v>19.5</v>
      </c>
      <c r="AW89" s="10">
        <f t="shared" si="172"/>
        <v>36.880000000000003</v>
      </c>
      <c r="AZ89" t="str">
        <f t="shared" si="173"/>
        <v>Yes</v>
      </c>
      <c r="BB89" s="37">
        <f t="shared" si="174"/>
        <v>-0.5</v>
      </c>
      <c r="BC89" s="37">
        <f t="shared" si="127"/>
        <v>-1.5</v>
      </c>
      <c r="BD89" s="37">
        <f t="shared" si="175"/>
        <v>-1.5</v>
      </c>
      <c r="BE89" s="37">
        <f t="shared" si="176"/>
        <v>-0.5</v>
      </c>
      <c r="BF89" s="13" cm="1">
        <f t="array" ref="BF89">SUMPRODUCT((1/COUNTIFS($A$3:$A89,$A$3:$A89,$H$3:$H89,$H$3:$H89,$I$3:$I89,$I$3:$I89)))</f>
        <v>38</v>
      </c>
      <c r="BG89" s="13">
        <v>4</v>
      </c>
      <c r="BH89" s="12">
        <f t="shared" si="161"/>
        <v>0.10526315789473684</v>
      </c>
    </row>
    <row r="90" spans="1:60" x14ac:dyDescent="0.2">
      <c r="A90" s="91">
        <v>46277</v>
      </c>
      <c r="C90" s="37">
        <v>10.46</v>
      </c>
      <c r="D90" s="13" t="s">
        <v>205</v>
      </c>
      <c r="E90" s="13" t="s">
        <v>134</v>
      </c>
      <c r="H90" t="s">
        <v>139</v>
      </c>
      <c r="I90" s="13">
        <v>8</v>
      </c>
      <c r="J90" s="13">
        <v>13</v>
      </c>
      <c r="K90" t="s">
        <v>257</v>
      </c>
      <c r="L90" s="37">
        <v>0.5</v>
      </c>
      <c r="M90" s="37">
        <v>13</v>
      </c>
      <c r="N90" s="37">
        <v>19.78</v>
      </c>
      <c r="O90" s="37" t="s">
        <v>17</v>
      </c>
      <c r="Q90" s="13" t="s">
        <v>4</v>
      </c>
      <c r="R90" s="37">
        <v>18.277600000000003</v>
      </c>
      <c r="S90" s="13" t="s">
        <v>136</v>
      </c>
      <c r="T90" s="38" t="str">
        <f t="shared" si="128"/>
        <v>0.00</v>
      </c>
      <c r="U90" s="38">
        <f t="shared" si="135"/>
        <v>-0.5</v>
      </c>
      <c r="V90" s="38">
        <f t="shared" si="136"/>
        <v>0.10040000000000227</v>
      </c>
      <c r="W90" s="38">
        <f t="shared" si="137"/>
        <v>44</v>
      </c>
      <c r="X90" s="39">
        <f t="shared" si="138"/>
        <v>2.2818181818182333E-3</v>
      </c>
      <c r="Y90" s="40">
        <f t="shared" si="139"/>
        <v>1.0040000000000227E-3</v>
      </c>
      <c r="Z90" s="41">
        <f t="shared" si="140"/>
        <v>10.040000000000227</v>
      </c>
      <c r="AA90" s="13" t="s">
        <v>57</v>
      </c>
      <c r="AT90" s="37">
        <v>15</v>
      </c>
      <c r="AU90" s="37">
        <v>15</v>
      </c>
      <c r="AV90" s="10">
        <f t="shared" si="129"/>
        <v>9.39</v>
      </c>
      <c r="AW90" s="10">
        <f t="shared" si="172"/>
        <v>18.277600000000003</v>
      </c>
      <c r="AZ90" t="str">
        <f t="shared" si="173"/>
        <v>Yes</v>
      </c>
      <c r="BB90" s="37">
        <f t="shared" si="174"/>
        <v>-0.5</v>
      </c>
      <c r="BC90" s="37">
        <f t="shared" si="127"/>
        <v>-1.5</v>
      </c>
      <c r="BD90" s="37">
        <f t="shared" si="175"/>
        <v>-1.5</v>
      </c>
      <c r="BE90" s="37">
        <f t="shared" si="176"/>
        <v>-0.5</v>
      </c>
      <c r="BF90" s="13" cm="1">
        <f t="array" ref="BF90">SUMPRODUCT((1/COUNTIFS($A$3:$A90,$A$3:$A90,$H$3:$H90,$H$3:$H90,$I$3:$I90,$I$3:$I90)))</f>
        <v>38.000000000000007</v>
      </c>
      <c r="BG90" s="13">
        <v>4</v>
      </c>
      <c r="BH90" s="12">
        <f t="shared" si="161"/>
        <v>0.10526315789473682</v>
      </c>
    </row>
    <row r="91" spans="1:60" x14ac:dyDescent="0.2">
      <c r="A91" s="91">
        <v>46277</v>
      </c>
      <c r="C91" s="37">
        <v>10.46</v>
      </c>
      <c r="D91" s="13" t="s">
        <v>205</v>
      </c>
      <c r="E91" s="13" t="s">
        <v>134</v>
      </c>
      <c r="H91" t="s">
        <v>139</v>
      </c>
      <c r="I91" s="13">
        <v>9</v>
      </c>
      <c r="J91" s="13">
        <v>8</v>
      </c>
      <c r="K91" s="99" t="s">
        <v>259</v>
      </c>
      <c r="L91" s="37">
        <v>0.5</v>
      </c>
      <c r="M91" s="37">
        <v>29</v>
      </c>
      <c r="N91" s="37">
        <v>39.26</v>
      </c>
      <c r="O91" s="37" t="s">
        <v>17</v>
      </c>
      <c r="Q91" s="13" t="s">
        <v>4</v>
      </c>
      <c r="R91" s="37">
        <v>36.199199999999998</v>
      </c>
      <c r="S91" s="13">
        <v>2</v>
      </c>
      <c r="T91" s="38" t="str">
        <f t="shared" si="128"/>
        <v>0.00</v>
      </c>
      <c r="U91" s="38">
        <f t="shared" si="135"/>
        <v>-0.5</v>
      </c>
      <c r="V91" s="38">
        <f t="shared" si="136"/>
        <v>-0.39959999999999773</v>
      </c>
      <c r="W91" s="38">
        <f t="shared" si="137"/>
        <v>44.5</v>
      </c>
      <c r="X91" s="39">
        <f t="shared" si="138"/>
        <v>-8.9797752808988256E-3</v>
      </c>
      <c r="Y91" s="40">
        <f t="shared" si="139"/>
        <v>-3.995999999999977E-3</v>
      </c>
      <c r="Z91" s="41">
        <f t="shared" si="140"/>
        <v>-39.959999999999773</v>
      </c>
      <c r="AA91" s="13" t="s">
        <v>57</v>
      </c>
      <c r="AT91" s="37">
        <v>29.8</v>
      </c>
      <c r="AU91" s="37">
        <v>26</v>
      </c>
      <c r="AV91" s="10">
        <f t="shared" si="129"/>
        <v>19.13</v>
      </c>
      <c r="AW91" s="10">
        <f t="shared" ref="AW91:AW93" si="177">0.92*(N91-1)+1</f>
        <v>36.199199999999998</v>
      </c>
      <c r="AZ91" t="str">
        <f t="shared" ref="AZ91:AZ93" si="178">IF(N91&gt;=M91,"Yes","No")</f>
        <v>Yes</v>
      </c>
      <c r="BB91" s="37">
        <f t="shared" ref="BB91:BB97" si="179">IF(AA91="W",
   L91*(N91-1),
   -L91
)</f>
        <v>-0.5</v>
      </c>
      <c r="BC91" s="37">
        <f t="shared" si="127"/>
        <v>-1.5</v>
      </c>
      <c r="BD91" s="37">
        <f t="shared" ref="BD91:BD93" si="180">IF(BC91&gt;0, BC91*0.92, BC91)</f>
        <v>-1.5</v>
      </c>
      <c r="BE91" s="37">
        <f t="shared" ref="BE91:BE93" si="181">IF(
  BC91&gt;0,
  IF(
    AA91="W",
    BB91 - (BC91 - BD91),
    BB91
  ),
  BB91
)</f>
        <v>-0.5</v>
      </c>
      <c r="BF91" s="13" cm="1">
        <f t="array" ref="BF91">SUMPRODUCT((1/COUNTIFS($A$3:$A91,$A$3:$A91,$H$3:$H91,$H$3:$H91,$I$3:$I91,$I$3:$I91)))</f>
        <v>39.000000000000007</v>
      </c>
      <c r="BG91" s="13">
        <v>4</v>
      </c>
    </row>
    <row r="92" spans="1:60" x14ac:dyDescent="0.2">
      <c r="A92" s="91">
        <v>46277</v>
      </c>
      <c r="C92" s="37">
        <v>10.46</v>
      </c>
      <c r="D92" s="13" t="s">
        <v>205</v>
      </c>
      <c r="E92" s="13" t="s">
        <v>134</v>
      </c>
      <c r="H92" t="s">
        <v>139</v>
      </c>
      <c r="I92" s="13">
        <v>9</v>
      </c>
      <c r="J92" s="13">
        <v>11</v>
      </c>
      <c r="K92" t="s">
        <v>260</v>
      </c>
      <c r="L92" s="37">
        <v>0.5</v>
      </c>
      <c r="M92" s="37">
        <v>23</v>
      </c>
      <c r="N92" s="37">
        <v>23</v>
      </c>
      <c r="O92" s="37" t="s">
        <v>17</v>
      </c>
      <c r="Q92" s="13" t="s">
        <v>4</v>
      </c>
      <c r="R92" s="37">
        <v>21.240000000000002</v>
      </c>
      <c r="S92" s="13" t="s">
        <v>136</v>
      </c>
      <c r="T92" s="38" t="str">
        <f t="shared" si="128"/>
        <v>0.00</v>
      </c>
      <c r="U92" s="38">
        <f t="shared" si="135"/>
        <v>-0.5</v>
      </c>
      <c r="V92" s="38">
        <f t="shared" si="136"/>
        <v>-0.89959999999999773</v>
      </c>
      <c r="W92" s="38">
        <f t="shared" si="137"/>
        <v>45</v>
      </c>
      <c r="X92" s="39">
        <f t="shared" si="138"/>
        <v>-1.999111111111106E-2</v>
      </c>
      <c r="Y92" s="40">
        <f t="shared" si="139"/>
        <v>-8.995999999999978E-3</v>
      </c>
      <c r="Z92" s="41">
        <f t="shared" si="140"/>
        <v>-89.959999999999781</v>
      </c>
      <c r="AA92" s="13" t="s">
        <v>57</v>
      </c>
      <c r="AT92" s="37">
        <v>20</v>
      </c>
      <c r="AU92" s="37">
        <v>16</v>
      </c>
      <c r="AV92" s="10">
        <f t="shared" si="129"/>
        <v>11</v>
      </c>
      <c r="AW92" s="10">
        <f t="shared" si="177"/>
        <v>21.240000000000002</v>
      </c>
      <c r="AZ92" t="str">
        <f t="shared" si="178"/>
        <v>Yes</v>
      </c>
      <c r="BB92" s="37">
        <f t="shared" si="179"/>
        <v>-0.5</v>
      </c>
      <c r="BC92" s="37">
        <f t="shared" si="127"/>
        <v>-1.5</v>
      </c>
      <c r="BD92" s="37">
        <f t="shared" si="180"/>
        <v>-1.5</v>
      </c>
      <c r="BE92" s="37">
        <f t="shared" si="181"/>
        <v>-0.5</v>
      </c>
      <c r="BF92" s="13" cm="1">
        <f t="array" ref="BF92">SUMPRODUCT((1/COUNTIFS($A$3:$A92,$A$3:$A92,$H$3:$H92,$H$3:$H92,$I$3:$I92,$I$3:$I92)))</f>
        <v>39.000000000000007</v>
      </c>
      <c r="BG92" s="13">
        <v>4</v>
      </c>
    </row>
    <row r="93" spans="1:60" x14ac:dyDescent="0.2">
      <c r="A93" s="91">
        <v>46277</v>
      </c>
      <c r="C93" s="37">
        <v>10.46</v>
      </c>
      <c r="D93" s="13" t="s">
        <v>205</v>
      </c>
      <c r="E93" s="13" t="s">
        <v>134</v>
      </c>
      <c r="H93" t="s">
        <v>139</v>
      </c>
      <c r="I93" s="13">
        <v>9</v>
      </c>
      <c r="J93" s="13">
        <v>12</v>
      </c>
      <c r="K93" t="s">
        <v>261</v>
      </c>
      <c r="L93" s="37">
        <v>0.5</v>
      </c>
      <c r="M93" s="37">
        <v>23</v>
      </c>
      <c r="N93" s="37">
        <v>61.54</v>
      </c>
      <c r="O93" s="37" t="s">
        <v>17</v>
      </c>
      <c r="Q93" s="13" t="s">
        <v>4</v>
      </c>
      <c r="R93" s="37">
        <v>56.696800000000003</v>
      </c>
      <c r="S93" s="13" t="s">
        <v>136</v>
      </c>
      <c r="T93" s="38" t="str">
        <f t="shared" si="128"/>
        <v>0.00</v>
      </c>
      <c r="U93" s="38">
        <f t="shared" si="135"/>
        <v>-0.5</v>
      </c>
      <c r="V93" s="38">
        <f t="shared" si="136"/>
        <v>-1.3995999999999977</v>
      </c>
      <c r="W93" s="38">
        <f t="shared" si="137"/>
        <v>45.5</v>
      </c>
      <c r="X93" s="39">
        <f t="shared" si="138"/>
        <v>-3.0760439560439511E-2</v>
      </c>
      <c r="Y93" s="40">
        <f t="shared" si="139"/>
        <v>-1.3995999999999977E-2</v>
      </c>
      <c r="Z93" s="41">
        <f t="shared" si="140"/>
        <v>-139.95999999999978</v>
      </c>
      <c r="AA93" s="13" t="s">
        <v>57</v>
      </c>
      <c r="AT93" s="37">
        <v>41</v>
      </c>
      <c r="AU93" s="37">
        <v>41</v>
      </c>
      <c r="AV93" s="10">
        <f t="shared" si="129"/>
        <v>30.27</v>
      </c>
      <c r="AW93" s="10">
        <f t="shared" si="177"/>
        <v>56.696800000000003</v>
      </c>
      <c r="AZ93" t="str">
        <f t="shared" si="178"/>
        <v>Yes</v>
      </c>
      <c r="BB93" s="37">
        <f t="shared" si="179"/>
        <v>-0.5</v>
      </c>
      <c r="BC93" s="37">
        <f t="shared" si="127"/>
        <v>-1.5</v>
      </c>
      <c r="BD93" s="37">
        <f t="shared" si="180"/>
        <v>-1.5</v>
      </c>
      <c r="BE93" s="37">
        <f t="shared" si="181"/>
        <v>-0.5</v>
      </c>
      <c r="BF93" s="13" cm="1">
        <f t="array" ref="BF93">SUMPRODUCT((1/COUNTIFS($A$3:$A93,$A$3:$A93,$H$3:$H93,$H$3:$H93,$I$3:$I93,$I$3:$I93)))</f>
        <v>39.000000000000014</v>
      </c>
      <c r="BG93" s="13">
        <v>4</v>
      </c>
    </row>
    <row r="94" spans="1:60" x14ac:dyDescent="0.2">
      <c r="A94" s="91">
        <v>46277</v>
      </c>
      <c r="C94" s="37">
        <v>10.46</v>
      </c>
      <c r="D94" s="13" t="s">
        <v>205</v>
      </c>
      <c r="E94" s="13" t="s">
        <v>142</v>
      </c>
      <c r="H94" t="s">
        <v>140</v>
      </c>
      <c r="I94" s="13">
        <v>10</v>
      </c>
      <c r="J94" s="13">
        <v>7</v>
      </c>
      <c r="K94" s="98" t="s">
        <v>263</v>
      </c>
      <c r="L94" s="37">
        <v>0.5</v>
      </c>
      <c r="M94" s="37">
        <v>26</v>
      </c>
      <c r="N94" s="37">
        <v>28.29</v>
      </c>
      <c r="O94" s="37" t="s">
        <v>17</v>
      </c>
      <c r="Q94" s="13" t="s">
        <v>4</v>
      </c>
      <c r="R94" s="37">
        <v>26.1068</v>
      </c>
      <c r="S94" s="13">
        <v>4</v>
      </c>
      <c r="T94" s="38" t="str">
        <f t="shared" si="128"/>
        <v>0.00</v>
      </c>
      <c r="U94" s="38">
        <f t="shared" si="135"/>
        <v>-0.5</v>
      </c>
      <c r="V94" s="38">
        <f t="shared" si="136"/>
        <v>-1.8995999999999977</v>
      </c>
      <c r="W94" s="38">
        <f t="shared" si="137"/>
        <v>46</v>
      </c>
      <c r="X94" s="39">
        <f t="shared" si="138"/>
        <v>-4.1295652173912997E-2</v>
      </c>
      <c r="Y94" s="40">
        <f t="shared" si="139"/>
        <v>-1.8995999999999978E-2</v>
      </c>
      <c r="Z94" s="41">
        <f t="shared" si="140"/>
        <v>-189.95999999999978</v>
      </c>
      <c r="AA94" s="13" t="s">
        <v>57</v>
      </c>
      <c r="AT94" s="37">
        <v>25.7</v>
      </c>
      <c r="AU94" s="37">
        <v>21</v>
      </c>
      <c r="AV94" s="10">
        <f t="shared" si="129"/>
        <v>13.645</v>
      </c>
      <c r="AW94" s="10">
        <f t="shared" ref="AW94:AW95" si="182">0.92*(N94-1)+1</f>
        <v>26.1068</v>
      </c>
      <c r="AZ94" t="str">
        <f t="shared" ref="AZ94:AZ95" si="183">IF(N94&gt;=M94,"Yes","No")</f>
        <v>Yes</v>
      </c>
      <c r="BB94" s="37">
        <f t="shared" si="179"/>
        <v>-0.5</v>
      </c>
      <c r="BC94" s="37">
        <f t="shared" si="127"/>
        <v>-1</v>
      </c>
      <c r="BD94" s="37">
        <f t="shared" ref="BD94:BD95" si="184">IF(BC94&gt;0, BC94*0.92, BC94)</f>
        <v>-1</v>
      </c>
      <c r="BE94" s="37">
        <f t="shared" ref="BE94:BE95" si="185">IF(
  BC94&gt;0,
  IF(
    AA94="W",
    BB94 - (BC94 - BD94),
    BB94
  ),
  BB94
)</f>
        <v>-0.5</v>
      </c>
      <c r="BF94" s="13" cm="1">
        <f t="array" ref="BF94">SUMPRODUCT((1/COUNTIFS($A$3:$A94,$A$3:$A94,$H$3:$H94,$H$3:$H94,$I$3:$I94,$I$3:$I94)))</f>
        <v>40.000000000000014</v>
      </c>
      <c r="BG94" s="13">
        <v>4</v>
      </c>
    </row>
    <row r="95" spans="1:60" x14ac:dyDescent="0.2">
      <c r="A95" s="91">
        <v>46277</v>
      </c>
      <c r="C95" s="37">
        <v>10.46</v>
      </c>
      <c r="D95" s="13" t="s">
        <v>205</v>
      </c>
      <c r="E95" s="13" t="s">
        <v>142</v>
      </c>
      <c r="H95" t="s">
        <v>140</v>
      </c>
      <c r="I95" s="13">
        <v>10</v>
      </c>
      <c r="J95" s="13">
        <v>8</v>
      </c>
      <c r="K95" t="s">
        <v>264</v>
      </c>
      <c r="L95" s="37">
        <v>0.5</v>
      </c>
      <c r="M95" s="37">
        <v>8.8000000000000007</v>
      </c>
      <c r="N95" s="37">
        <v>15.8</v>
      </c>
      <c r="O95" s="37" t="s">
        <v>17</v>
      </c>
      <c r="Q95" s="13" t="s">
        <v>4</v>
      </c>
      <c r="R95" s="37">
        <v>14.616000000000001</v>
      </c>
      <c r="S95" s="13" t="s">
        <v>136</v>
      </c>
      <c r="T95" s="38" t="str">
        <f t="shared" si="128"/>
        <v>0.00</v>
      </c>
      <c r="U95" s="38">
        <f t="shared" si="135"/>
        <v>-0.5</v>
      </c>
      <c r="V95" s="38">
        <f t="shared" si="136"/>
        <v>-2.3995999999999977</v>
      </c>
      <c r="W95" s="38">
        <f t="shared" si="137"/>
        <v>46.5</v>
      </c>
      <c r="X95" s="39">
        <f t="shared" si="138"/>
        <v>-5.1604301075268769E-2</v>
      </c>
      <c r="Y95" s="40">
        <f t="shared" si="139"/>
        <v>-2.3995999999999976E-2</v>
      </c>
      <c r="Z95" s="41">
        <f t="shared" si="140"/>
        <v>-239.95999999999978</v>
      </c>
      <c r="AA95" s="13" t="s">
        <v>57</v>
      </c>
      <c r="AT95" s="37">
        <v>12</v>
      </c>
      <c r="AU95" s="37">
        <v>11</v>
      </c>
      <c r="AV95" s="10">
        <f t="shared" si="129"/>
        <v>7.4</v>
      </c>
      <c r="AW95" s="10">
        <f t="shared" si="182"/>
        <v>14.616000000000001</v>
      </c>
      <c r="AZ95" t="str">
        <f t="shared" si="183"/>
        <v>Yes</v>
      </c>
      <c r="BB95" s="37">
        <f t="shared" si="179"/>
        <v>-0.5</v>
      </c>
      <c r="BC95" s="37">
        <f t="shared" si="127"/>
        <v>-1</v>
      </c>
      <c r="BD95" s="37">
        <f t="shared" si="184"/>
        <v>-1</v>
      </c>
      <c r="BE95" s="37">
        <f t="shared" si="185"/>
        <v>-0.5</v>
      </c>
      <c r="BF95" s="13" cm="1">
        <f t="array" ref="BF95">SUMPRODUCT((1/COUNTIFS($A$3:$A95,$A$3:$A95,$H$3:$H95,$H$3:$H95,$I$3:$I95,$I$3:$I95)))</f>
        <v>40.000000000000014</v>
      </c>
      <c r="BG95" s="13">
        <v>4</v>
      </c>
    </row>
    <row r="96" spans="1:60" x14ac:dyDescent="0.2">
      <c r="A96" s="91">
        <v>46277</v>
      </c>
      <c r="C96" s="37">
        <v>10.46</v>
      </c>
      <c r="D96" s="13" t="s">
        <v>205</v>
      </c>
      <c r="E96" s="13" t="s">
        <v>134</v>
      </c>
      <c r="H96" t="s">
        <v>139</v>
      </c>
      <c r="I96" s="13">
        <v>10</v>
      </c>
      <c r="J96" s="13">
        <v>7</v>
      </c>
      <c r="K96" t="s">
        <v>266</v>
      </c>
      <c r="L96" s="37">
        <v>0.5</v>
      </c>
      <c r="M96" s="37">
        <v>34</v>
      </c>
      <c r="N96" s="37">
        <v>34</v>
      </c>
      <c r="O96" s="37" t="s">
        <v>17</v>
      </c>
      <c r="Q96" s="13" t="s">
        <v>4</v>
      </c>
      <c r="R96" s="37">
        <v>31.360000000000003</v>
      </c>
      <c r="S96" s="13" t="s">
        <v>136</v>
      </c>
      <c r="T96" s="38" t="str">
        <f t="shared" si="128"/>
        <v>0.00</v>
      </c>
      <c r="U96" s="38">
        <f t="shared" si="135"/>
        <v>-0.5</v>
      </c>
      <c r="V96" s="38">
        <f t="shared" si="136"/>
        <v>-2.8995999999999977</v>
      </c>
      <c r="W96" s="38">
        <f t="shared" si="137"/>
        <v>47</v>
      </c>
      <c r="X96" s="39">
        <f t="shared" si="138"/>
        <v>-6.1693617021276549E-2</v>
      </c>
      <c r="Y96" s="40">
        <f t="shared" si="139"/>
        <v>-2.8995999999999977E-2</v>
      </c>
      <c r="Z96" s="41">
        <f t="shared" si="140"/>
        <v>-289.95999999999975</v>
      </c>
      <c r="AA96" s="13" t="s">
        <v>57</v>
      </c>
      <c r="AT96" s="37">
        <v>29</v>
      </c>
      <c r="AU96" s="37">
        <v>26</v>
      </c>
      <c r="AV96" s="10">
        <f t="shared" si="129"/>
        <v>16.5</v>
      </c>
      <c r="AW96" s="10">
        <f t="shared" ref="AW96:AW97" si="186">0.92*(N96-1)+1</f>
        <v>31.360000000000003</v>
      </c>
      <c r="AZ96" t="str">
        <f t="shared" ref="AZ96:AZ97" si="187">IF(N96&gt;=M96,"Yes","No")</f>
        <v>Yes</v>
      </c>
      <c r="BB96" s="37">
        <f t="shared" si="179"/>
        <v>-0.5</v>
      </c>
      <c r="BC96" s="37">
        <f t="shared" si="127"/>
        <v>-1</v>
      </c>
      <c r="BD96" s="37">
        <f t="shared" ref="BD96:BD97" si="188">IF(BC96&gt;0, BC96*0.92, BC96)</f>
        <v>-1</v>
      </c>
      <c r="BE96" s="37">
        <f t="shared" ref="BE96:BE97" si="189">IF(
  BC96&gt;0,
  IF(
    AA96="W",
    BB96 - (BC96 - BD96),
    BB96
  ),
  BB96
)</f>
        <v>-0.5</v>
      </c>
      <c r="BF96" s="13" cm="1">
        <f t="array" ref="BF96">SUMPRODUCT((1/COUNTIFS($A$3:$A96,$A$3:$A96,$H$3:$H96,$H$3:$H96,$I$3:$I96,$I$3:$I96)))</f>
        <v>41.000000000000014</v>
      </c>
      <c r="BG96" s="13">
        <v>4</v>
      </c>
    </row>
    <row r="97" spans="1:59" x14ac:dyDescent="0.2">
      <c r="A97" s="91">
        <v>46277</v>
      </c>
      <c r="C97" s="37">
        <v>10.46</v>
      </c>
      <c r="D97" s="13" t="s">
        <v>205</v>
      </c>
      <c r="E97" s="13" t="s">
        <v>134</v>
      </c>
      <c r="H97" t="s">
        <v>139</v>
      </c>
      <c r="I97" s="13">
        <v>10</v>
      </c>
      <c r="J97" s="13">
        <v>9</v>
      </c>
      <c r="K97" t="s">
        <v>268</v>
      </c>
      <c r="L97" s="37">
        <v>0.5</v>
      </c>
      <c r="M97" s="37">
        <v>12</v>
      </c>
      <c r="N97" s="37">
        <v>26.3</v>
      </c>
      <c r="O97" s="37" t="s">
        <v>17</v>
      </c>
      <c r="Q97" s="13" t="s">
        <v>4</v>
      </c>
      <c r="R97" s="37">
        <v>24.276000000000003</v>
      </c>
      <c r="S97" s="13" t="s">
        <v>136</v>
      </c>
      <c r="T97" s="38" t="str">
        <f t="shared" si="128"/>
        <v>0.00</v>
      </c>
      <c r="U97" s="38">
        <f t="shared" si="135"/>
        <v>-0.5</v>
      </c>
      <c r="V97" s="38">
        <f t="shared" si="136"/>
        <v>-3.3995999999999977</v>
      </c>
      <c r="W97" s="38">
        <f t="shared" si="137"/>
        <v>47.5</v>
      </c>
      <c r="X97" s="39">
        <f t="shared" si="138"/>
        <v>-7.1570526315789432E-2</v>
      </c>
      <c r="Y97" s="40">
        <f t="shared" si="139"/>
        <v>-3.3995999999999978E-2</v>
      </c>
      <c r="Z97" s="41">
        <f t="shared" si="140"/>
        <v>-339.95999999999975</v>
      </c>
      <c r="AA97" s="13" t="s">
        <v>57</v>
      </c>
      <c r="AT97" s="37">
        <v>19</v>
      </c>
      <c r="AU97" s="37">
        <v>17</v>
      </c>
      <c r="AV97" s="10">
        <f t="shared" si="129"/>
        <v>12.65</v>
      </c>
      <c r="AW97" s="10">
        <f t="shared" si="186"/>
        <v>24.276000000000003</v>
      </c>
      <c r="AZ97" t="str">
        <f t="shared" si="187"/>
        <v>Yes</v>
      </c>
      <c r="BB97" s="37">
        <f t="shared" si="179"/>
        <v>-0.5</v>
      </c>
      <c r="BC97" s="37">
        <f t="shared" si="127"/>
        <v>-1</v>
      </c>
      <c r="BD97" s="37">
        <f t="shared" si="188"/>
        <v>-1</v>
      </c>
      <c r="BE97" s="37">
        <f t="shared" si="189"/>
        <v>-0.5</v>
      </c>
      <c r="BF97" s="13" cm="1">
        <f t="array" ref="BF97">SUMPRODUCT((1/COUNTIFS($A$3:$A97,$A$3:$A97,$H$3:$H97,$H$3:$H97,$I$3:$I97,$I$3:$I97)))</f>
        <v>41.000000000000014</v>
      </c>
      <c r="BG97" s="13">
        <v>4</v>
      </c>
    </row>
    <row r="98" spans="1:59" x14ac:dyDescent="0.2">
      <c r="A98" s="91">
        <v>46281</v>
      </c>
      <c r="C98" s="37">
        <v>12.37</v>
      </c>
      <c r="D98" s="13" t="s">
        <v>133</v>
      </c>
      <c r="E98" s="13" t="s">
        <v>142</v>
      </c>
      <c r="H98" t="s">
        <v>140</v>
      </c>
      <c r="I98" s="13">
        <v>2</v>
      </c>
      <c r="J98" s="13">
        <v>7</v>
      </c>
      <c r="K98" s="92" t="s">
        <v>271</v>
      </c>
      <c r="L98" s="37">
        <v>0.5</v>
      </c>
      <c r="M98" s="37">
        <v>11.5</v>
      </c>
      <c r="N98" s="37">
        <v>12.25</v>
      </c>
      <c r="O98" s="37" t="s">
        <v>17</v>
      </c>
      <c r="Q98" s="13" t="s">
        <v>4</v>
      </c>
      <c r="R98" s="37">
        <v>11.35</v>
      </c>
      <c r="S98" s="13">
        <v>3</v>
      </c>
      <c r="T98" s="38" t="str">
        <f t="shared" si="128"/>
        <v>0.00</v>
      </c>
      <c r="U98" s="38">
        <f t="shared" si="135"/>
        <v>-0.5</v>
      </c>
      <c r="V98" s="38">
        <f t="shared" si="136"/>
        <v>-3.8995999999999977</v>
      </c>
      <c r="W98" s="38">
        <f t="shared" si="137"/>
        <v>48</v>
      </c>
      <c r="X98" s="39">
        <f t="shared" si="138"/>
        <v>-8.1241666666666615E-2</v>
      </c>
      <c r="Y98" s="40">
        <f t="shared" si="139"/>
        <v>-3.8995999999999975E-2</v>
      </c>
      <c r="Z98" s="41">
        <f t="shared" si="140"/>
        <v>-389.95999999999975</v>
      </c>
      <c r="AA98" s="13" t="s">
        <v>57</v>
      </c>
      <c r="AT98" s="37">
        <v>12.2</v>
      </c>
      <c r="AU98" s="37">
        <v>12</v>
      </c>
      <c r="AV98" s="10">
        <f t="shared" si="129"/>
        <v>5.625</v>
      </c>
      <c r="AW98" s="10">
        <f t="shared" ref="AW98:AW99" si="190">0.92*(N98-1)+1</f>
        <v>11.35</v>
      </c>
      <c r="AZ98" t="str">
        <f t="shared" ref="AZ98:AZ99" si="191">IF(N98&gt;=M98,"Yes","No")</f>
        <v>Yes</v>
      </c>
      <c r="BB98" s="37">
        <f t="shared" ref="BB98:BB99" si="192">IF(AA98="W",
   L98*(N98-1),
   -L98
)</f>
        <v>-0.5</v>
      </c>
      <c r="BC98" s="37">
        <f t="shared" si="127"/>
        <v>-0.5</v>
      </c>
      <c r="BD98" s="37">
        <f t="shared" ref="BD98:BD99" si="193">IF(BC98&gt;0, BC98*0.92, BC98)</f>
        <v>-0.5</v>
      </c>
      <c r="BE98" s="37">
        <f t="shared" ref="BE98:BE99" si="194">IF(
  BC98&gt;0,
  IF(
    AA98="W",
    BB98 - (BC98 - BD98),
    BB98
  ),
  BB98
)</f>
        <v>-0.5</v>
      </c>
      <c r="BF98" s="13" cm="1">
        <f t="array" ref="BF98">SUMPRODUCT((1/COUNTIFS($A$3:$A98,$A$3:$A98,$H$3:$H98,$H$3:$H98,$I$3:$I98,$I$3:$I98)))</f>
        <v>42.000000000000014</v>
      </c>
      <c r="BG98" s="13"/>
    </row>
    <row r="99" spans="1:59" x14ac:dyDescent="0.2">
      <c r="A99" s="91">
        <v>46281</v>
      </c>
      <c r="C99" s="37">
        <v>12.37</v>
      </c>
      <c r="D99" s="13" t="s">
        <v>133</v>
      </c>
      <c r="E99" s="13" t="s">
        <v>134</v>
      </c>
      <c r="H99" t="s">
        <v>137</v>
      </c>
      <c r="I99" s="13">
        <v>3</v>
      </c>
      <c r="J99" s="13">
        <v>5</v>
      </c>
      <c r="K99" t="s">
        <v>272</v>
      </c>
      <c r="L99" s="37">
        <v>0.5</v>
      </c>
      <c r="M99" s="37">
        <v>27</v>
      </c>
      <c r="N99" s="37">
        <v>46.31</v>
      </c>
      <c r="O99" s="37" t="s">
        <v>17</v>
      </c>
      <c r="Q99" s="13" t="s">
        <v>4</v>
      </c>
      <c r="R99" s="37">
        <v>42.685200000000002</v>
      </c>
      <c r="S99" s="13" t="s">
        <v>136</v>
      </c>
      <c r="T99" s="38" t="str">
        <f t="shared" si="128"/>
        <v>0.00</v>
      </c>
      <c r="U99" s="38">
        <f t="shared" si="135"/>
        <v>-0.5</v>
      </c>
      <c r="V99" s="38">
        <f t="shared" si="136"/>
        <v>-4.3995999999999977</v>
      </c>
      <c r="W99" s="38">
        <f t="shared" si="137"/>
        <v>48.5</v>
      </c>
      <c r="X99" s="39">
        <f t="shared" si="138"/>
        <v>-9.071340206185563E-2</v>
      </c>
      <c r="Y99" s="40">
        <f t="shared" si="139"/>
        <v>-4.399599999999998E-2</v>
      </c>
      <c r="Z99" s="41">
        <f t="shared" si="140"/>
        <v>-439.95999999999975</v>
      </c>
      <c r="AA99" s="13" t="s">
        <v>57</v>
      </c>
      <c r="AT99" s="37">
        <v>36.700000000000003</v>
      </c>
      <c r="AU99" s="37">
        <v>31</v>
      </c>
      <c r="AV99" s="10">
        <f t="shared" si="129"/>
        <v>22.655000000000001</v>
      </c>
      <c r="AW99" s="10">
        <f t="shared" si="190"/>
        <v>42.685200000000002</v>
      </c>
      <c r="AZ99" t="str">
        <f t="shared" si="191"/>
        <v>Yes</v>
      </c>
      <c r="BB99" s="37">
        <f t="shared" si="192"/>
        <v>-0.5</v>
      </c>
      <c r="BC99" s="37">
        <f t="shared" ref="BC99:BC130" si="195">SUMIFS(
  $BB:$BB,
  $A:$A,$A99,
  $H:$H,$H99,
  $I:$I,$I99
)</f>
        <v>-0.5</v>
      </c>
      <c r="BD99" s="37">
        <f t="shared" si="193"/>
        <v>-0.5</v>
      </c>
      <c r="BE99" s="37">
        <f t="shared" si="194"/>
        <v>-0.5</v>
      </c>
      <c r="BF99" s="13" cm="1">
        <f t="array" ref="BF99">SUMPRODUCT((1/COUNTIFS($A$3:$A99,$A$3:$A99,$H$3:$H99,$H$3:$H99,$I$3:$I99,$I$3:$I99)))</f>
        <v>43.000000000000014</v>
      </c>
      <c r="BG99" s="13"/>
    </row>
    <row r="100" spans="1:59" x14ac:dyDescent="0.2">
      <c r="A100" s="91">
        <v>46281</v>
      </c>
      <c r="C100" s="37">
        <v>12.37</v>
      </c>
      <c r="D100" s="13" t="s">
        <v>133</v>
      </c>
      <c r="E100" s="13" t="s">
        <v>142</v>
      </c>
      <c r="H100" t="s">
        <v>140</v>
      </c>
      <c r="I100" s="13">
        <v>4</v>
      </c>
      <c r="J100" s="13">
        <v>1</v>
      </c>
      <c r="K100" t="s">
        <v>273</v>
      </c>
      <c r="L100" s="37">
        <v>0.5</v>
      </c>
      <c r="M100" s="37">
        <v>15.5</v>
      </c>
      <c r="N100" s="37">
        <v>24</v>
      </c>
      <c r="O100" s="37" t="s">
        <v>17</v>
      </c>
      <c r="Q100" s="13" t="s">
        <v>4</v>
      </c>
      <c r="R100" s="37">
        <v>22.16</v>
      </c>
      <c r="S100" s="13" t="s">
        <v>136</v>
      </c>
      <c r="T100" s="38" t="str">
        <f t="shared" si="128"/>
        <v>0.00</v>
      </c>
      <c r="U100" s="38">
        <f t="shared" si="135"/>
        <v>-0.5</v>
      </c>
      <c r="V100" s="38">
        <f t="shared" si="136"/>
        <v>-4.8995999999999977</v>
      </c>
      <c r="W100" s="38">
        <f t="shared" si="137"/>
        <v>49</v>
      </c>
      <c r="X100" s="39">
        <f t="shared" si="138"/>
        <v>-9.9991836734693834E-2</v>
      </c>
      <c r="Y100" s="40">
        <f t="shared" si="139"/>
        <v>-4.8995999999999977E-2</v>
      </c>
      <c r="Z100" s="41">
        <f t="shared" si="140"/>
        <v>-489.95999999999975</v>
      </c>
      <c r="AA100" s="13" t="s">
        <v>57</v>
      </c>
      <c r="AT100" s="37">
        <v>20.5</v>
      </c>
      <c r="AU100" s="37">
        <v>17</v>
      </c>
      <c r="AV100" s="10">
        <f t="shared" si="129"/>
        <v>11.5</v>
      </c>
      <c r="AW100" s="10">
        <f t="shared" ref="AW100:AW102" si="196">0.92*(N100-1)+1</f>
        <v>22.16</v>
      </c>
      <c r="AZ100" t="str">
        <f t="shared" ref="AZ100:AZ102" si="197">IF(N100&gt;=M100,"Yes","No")</f>
        <v>Yes</v>
      </c>
      <c r="BB100" s="37">
        <f t="shared" ref="BB100:BB102" si="198">IF(AA100="W",
   L100*(N100-1),
   -L100
)</f>
        <v>-0.5</v>
      </c>
      <c r="BC100" s="37">
        <f t="shared" si="195"/>
        <v>-1.5</v>
      </c>
      <c r="BD100" s="37">
        <f t="shared" ref="BD100:BD102" si="199">IF(BC100&gt;0, BC100*0.92, BC100)</f>
        <v>-1.5</v>
      </c>
      <c r="BE100" s="37">
        <f t="shared" ref="BE100:BE102" si="200">IF(
  BC100&gt;0,
  IF(
    AA100="W",
    BB100 - (BC100 - BD100),
    BB100
  ),
  BB100
)</f>
        <v>-0.5</v>
      </c>
      <c r="BF100" s="13" cm="1">
        <f t="array" ref="BF100">SUMPRODUCT((1/COUNTIFS($A$3:$A100,$A$3:$A100,$H$3:$H100,$H$3:$H100,$I$3:$I100,$I$3:$I100)))</f>
        <v>44.000000000000014</v>
      </c>
      <c r="BG100" s="13"/>
    </row>
    <row r="101" spans="1:59" x14ac:dyDescent="0.2">
      <c r="A101" s="91">
        <v>46281</v>
      </c>
      <c r="C101" s="37">
        <v>12.37</v>
      </c>
      <c r="D101" s="13" t="s">
        <v>133</v>
      </c>
      <c r="E101" s="13" t="s">
        <v>142</v>
      </c>
      <c r="H101" t="s">
        <v>140</v>
      </c>
      <c r="I101" s="13">
        <v>4</v>
      </c>
      <c r="J101" s="13">
        <v>5</v>
      </c>
      <c r="K101" s="98" t="s">
        <v>274</v>
      </c>
      <c r="L101" s="37">
        <v>0.5</v>
      </c>
      <c r="M101" s="37">
        <v>9.1999999999999993</v>
      </c>
      <c r="N101" s="37">
        <v>11</v>
      </c>
      <c r="O101" s="37" t="s">
        <v>17</v>
      </c>
      <c r="Q101" s="13" t="s">
        <v>4</v>
      </c>
      <c r="R101" s="37">
        <v>10.200000000000001</v>
      </c>
      <c r="S101" s="13">
        <v>4</v>
      </c>
      <c r="T101" s="38" t="str">
        <f t="shared" si="128"/>
        <v>0.00</v>
      </c>
      <c r="U101" s="38">
        <f t="shared" si="135"/>
        <v>-0.5</v>
      </c>
      <c r="V101" s="38">
        <f t="shared" si="136"/>
        <v>-5.3995999999999977</v>
      </c>
      <c r="W101" s="38">
        <f t="shared" si="137"/>
        <v>49.5</v>
      </c>
      <c r="X101" s="39">
        <f t="shared" si="138"/>
        <v>-0.10908282828282824</v>
      </c>
      <c r="Y101" s="40">
        <f t="shared" si="139"/>
        <v>-5.3995999999999975E-2</v>
      </c>
      <c r="Z101" s="41">
        <f t="shared" si="140"/>
        <v>-539.95999999999981</v>
      </c>
      <c r="AA101" s="13" t="s">
        <v>57</v>
      </c>
      <c r="AT101" s="37">
        <v>9.4</v>
      </c>
      <c r="AU101" s="37">
        <v>8</v>
      </c>
      <c r="AV101" s="10">
        <f t="shared" si="129"/>
        <v>5</v>
      </c>
      <c r="AW101" s="10">
        <f t="shared" si="196"/>
        <v>10.200000000000001</v>
      </c>
      <c r="AZ101" t="str">
        <f t="shared" si="197"/>
        <v>Yes</v>
      </c>
      <c r="BB101" s="37">
        <f t="shared" si="198"/>
        <v>-0.5</v>
      </c>
      <c r="BC101" s="37">
        <f t="shared" si="195"/>
        <v>-1.5</v>
      </c>
      <c r="BD101" s="37">
        <f t="shared" si="199"/>
        <v>-1.5</v>
      </c>
      <c r="BE101" s="37">
        <f t="shared" si="200"/>
        <v>-0.5</v>
      </c>
      <c r="BF101" s="13" cm="1">
        <f t="array" ref="BF101">SUMPRODUCT((1/COUNTIFS($A$3:$A101,$A$3:$A101,$H$3:$H101,$H$3:$H101,$I$3:$I101,$I$3:$I101)))</f>
        <v>44.000000000000014</v>
      </c>
      <c r="BG101" s="13"/>
    </row>
    <row r="102" spans="1:59" x14ac:dyDescent="0.2">
      <c r="A102" s="91">
        <v>46281</v>
      </c>
      <c r="C102" s="37">
        <v>12.37</v>
      </c>
      <c r="D102" s="13" t="s">
        <v>133</v>
      </c>
      <c r="E102" s="13" t="s">
        <v>142</v>
      </c>
      <c r="H102" t="s">
        <v>140</v>
      </c>
      <c r="I102" s="13">
        <v>4</v>
      </c>
      <c r="J102" s="13">
        <v>11</v>
      </c>
      <c r="K102" t="s">
        <v>275</v>
      </c>
      <c r="L102" s="37">
        <v>0.5</v>
      </c>
      <c r="M102" s="37">
        <v>18.5</v>
      </c>
      <c r="N102" s="37">
        <v>20</v>
      </c>
      <c r="O102" s="37" t="s">
        <v>17</v>
      </c>
      <c r="Q102" s="13" t="s">
        <v>4</v>
      </c>
      <c r="R102" s="37">
        <v>18.48</v>
      </c>
      <c r="S102" s="13" t="s">
        <v>136</v>
      </c>
      <c r="T102" s="38" t="str">
        <f t="shared" si="128"/>
        <v>0.00</v>
      </c>
      <c r="U102" s="38">
        <f t="shared" si="135"/>
        <v>-0.5</v>
      </c>
      <c r="V102" s="38">
        <f t="shared" si="136"/>
        <v>-5.8995999999999977</v>
      </c>
      <c r="W102" s="38">
        <f t="shared" si="137"/>
        <v>50</v>
      </c>
      <c r="X102" s="39">
        <f t="shared" si="138"/>
        <v>-0.11799199999999996</v>
      </c>
      <c r="Y102" s="40">
        <f t="shared" si="139"/>
        <v>-5.8995999999999979E-2</v>
      </c>
      <c r="Z102" s="41">
        <f t="shared" si="140"/>
        <v>-589.95999999999981</v>
      </c>
      <c r="AA102" s="13" t="s">
        <v>57</v>
      </c>
      <c r="AT102" s="37">
        <v>18</v>
      </c>
      <c r="AU102" s="37">
        <v>20</v>
      </c>
      <c r="AV102" s="10">
        <f t="shared" si="129"/>
        <v>9.5</v>
      </c>
      <c r="AW102" s="10">
        <f t="shared" si="196"/>
        <v>18.48</v>
      </c>
      <c r="AZ102" t="str">
        <f t="shared" si="197"/>
        <v>Yes</v>
      </c>
      <c r="BB102" s="37">
        <f t="shared" si="198"/>
        <v>-0.5</v>
      </c>
      <c r="BC102" s="37">
        <f t="shared" si="195"/>
        <v>-1.5</v>
      </c>
      <c r="BD102" s="37">
        <f t="shared" si="199"/>
        <v>-1.5</v>
      </c>
      <c r="BE102" s="37">
        <f t="shared" si="200"/>
        <v>-0.5</v>
      </c>
      <c r="BF102" s="13" cm="1">
        <f t="array" ref="BF102">SUMPRODUCT((1/COUNTIFS($A$3:$A102,$A$3:$A102,$H$3:$H102,$H$3:$H102,$I$3:$I102,$I$3:$I102)))</f>
        <v>44.000000000000021</v>
      </c>
      <c r="BG102" s="13"/>
    </row>
    <row r="103" spans="1:59" x14ac:dyDescent="0.2">
      <c r="A103" s="91">
        <v>46281</v>
      </c>
      <c r="C103" s="37">
        <v>12.37</v>
      </c>
      <c r="D103" s="13" t="s">
        <v>133</v>
      </c>
      <c r="E103" s="13" t="s">
        <v>134</v>
      </c>
      <c r="H103" t="s">
        <v>137</v>
      </c>
      <c r="I103" s="13">
        <v>4</v>
      </c>
      <c r="J103" s="13">
        <v>12</v>
      </c>
      <c r="K103" t="s">
        <v>277</v>
      </c>
      <c r="L103" s="37">
        <v>0.5</v>
      </c>
      <c r="M103" s="37">
        <v>14.5</v>
      </c>
      <c r="N103" s="37">
        <v>14.5</v>
      </c>
      <c r="O103" s="37" t="s">
        <v>17</v>
      </c>
      <c r="Q103" s="13" t="s">
        <v>4</v>
      </c>
      <c r="R103" s="37">
        <v>13.42</v>
      </c>
      <c r="S103" s="13" t="s">
        <v>136</v>
      </c>
      <c r="T103" s="38" t="str">
        <f t="shared" si="128"/>
        <v>0.00</v>
      </c>
      <c r="U103" s="38">
        <f t="shared" si="135"/>
        <v>-0.5</v>
      </c>
      <c r="V103" s="38">
        <f t="shared" si="136"/>
        <v>-6.3995999999999977</v>
      </c>
      <c r="W103" s="38">
        <f t="shared" si="137"/>
        <v>50.5</v>
      </c>
      <c r="X103" s="39">
        <f t="shared" si="138"/>
        <v>-0.12672475247524748</v>
      </c>
      <c r="Y103" s="40">
        <f t="shared" si="139"/>
        <v>-6.3995999999999983E-2</v>
      </c>
      <c r="Z103" s="41">
        <f t="shared" si="140"/>
        <v>-639.95999999999981</v>
      </c>
      <c r="AA103" s="13" t="s">
        <v>57</v>
      </c>
      <c r="AT103" s="37">
        <v>11</v>
      </c>
      <c r="AU103" s="37">
        <v>11</v>
      </c>
      <c r="AV103" s="10">
        <f t="shared" si="129"/>
        <v>6.75</v>
      </c>
      <c r="AW103" s="10">
        <f t="shared" ref="AW103" si="201">0.92*(N103-1)+1</f>
        <v>13.42</v>
      </c>
      <c r="AZ103" t="str">
        <f t="shared" ref="AZ103" si="202">IF(N103&gt;=M103,"Yes","No")</f>
        <v>Yes</v>
      </c>
      <c r="BB103" s="37">
        <f t="shared" ref="BB103" si="203">IF(AA103="W",
   L103*(N103-1),
   -L103
)</f>
        <v>-0.5</v>
      </c>
      <c r="BC103" s="37">
        <f t="shared" si="195"/>
        <v>-0.5</v>
      </c>
      <c r="BD103" s="37">
        <f t="shared" ref="BD103" si="204">IF(BC103&gt;0, BC103*0.92, BC103)</f>
        <v>-0.5</v>
      </c>
      <c r="BE103" s="37">
        <f t="shared" ref="BE103" si="205">IF(
  BC103&gt;0,
  IF(
    AA103="W",
    BB103 - (BC103 - BD103),
    BB103
  ),
  BB103
)</f>
        <v>-0.5</v>
      </c>
      <c r="BF103" s="13" cm="1">
        <f t="array" ref="BF103">SUMPRODUCT((1/COUNTIFS($A$3:$A103,$A$3:$A103,$H$3:$H103,$H$3:$H103,$I$3:$I103,$I$3:$I103)))</f>
        <v>45.000000000000021</v>
      </c>
      <c r="BG103" s="13"/>
    </row>
    <row r="104" spans="1:59" x14ac:dyDescent="0.2">
      <c r="A104" s="91">
        <v>46281</v>
      </c>
      <c r="C104" s="37">
        <v>12.37</v>
      </c>
      <c r="D104" s="13" t="s">
        <v>133</v>
      </c>
      <c r="E104" s="13" t="s">
        <v>142</v>
      </c>
      <c r="H104" t="s">
        <v>140</v>
      </c>
      <c r="I104" s="13">
        <v>5</v>
      </c>
      <c r="J104" s="13">
        <v>2</v>
      </c>
      <c r="K104" t="s">
        <v>278</v>
      </c>
      <c r="L104" s="37">
        <v>0.5</v>
      </c>
      <c r="M104" s="37">
        <v>8.1999999999999993</v>
      </c>
      <c r="N104" s="37">
        <v>9.4</v>
      </c>
      <c r="O104" s="37" t="s">
        <v>17</v>
      </c>
      <c r="Q104" s="13" t="s">
        <v>4</v>
      </c>
      <c r="R104" s="37">
        <v>8.7280000000000015</v>
      </c>
      <c r="S104" s="13" t="s">
        <v>136</v>
      </c>
      <c r="T104" s="38" t="str">
        <f t="shared" si="128"/>
        <v>0.00</v>
      </c>
      <c r="U104" s="38">
        <f t="shared" si="135"/>
        <v>-0.5</v>
      </c>
      <c r="V104" s="38">
        <f t="shared" si="136"/>
        <v>-6.8995999999999977</v>
      </c>
      <c r="W104" s="38">
        <f t="shared" si="137"/>
        <v>51</v>
      </c>
      <c r="X104" s="39">
        <f t="shared" si="138"/>
        <v>-0.13528627450980388</v>
      </c>
      <c r="Y104" s="40">
        <f t="shared" si="139"/>
        <v>-6.8995999999999974E-2</v>
      </c>
      <c r="Z104" s="41">
        <f t="shared" si="140"/>
        <v>-689.95999999999981</v>
      </c>
      <c r="AA104" s="13" t="s">
        <v>57</v>
      </c>
      <c r="AT104" s="37">
        <v>10.6</v>
      </c>
      <c r="AU104" s="37">
        <v>8</v>
      </c>
      <c r="AV104" s="10">
        <f t="shared" si="129"/>
        <v>4.2</v>
      </c>
      <c r="AW104" s="10">
        <f t="shared" ref="AW104:AW106" si="206">0.92*(N104-1)+1</f>
        <v>8.7280000000000015</v>
      </c>
      <c r="AZ104" t="str">
        <f t="shared" ref="AZ104:AZ106" si="207">IF(N104&gt;=M104,"Yes","No")</f>
        <v>Yes</v>
      </c>
      <c r="BB104" s="37">
        <f t="shared" ref="BB104:BB106" si="208">IF(AA104="W",
   L104*(N104-1),
   -L104
)</f>
        <v>-0.5</v>
      </c>
      <c r="BC104" s="37">
        <f t="shared" si="195"/>
        <v>-1.5</v>
      </c>
      <c r="BD104" s="37">
        <f t="shared" ref="BD104:BD106" si="209">IF(BC104&gt;0, BC104*0.92, BC104)</f>
        <v>-1.5</v>
      </c>
      <c r="BE104" s="37">
        <f t="shared" ref="BE104:BE106" si="210">IF(
  BC104&gt;0,
  IF(
    AA104="W",
    BB104 - (BC104 - BD104),
    BB104
  ),
  BB104
)</f>
        <v>-0.5</v>
      </c>
      <c r="BF104" s="13" cm="1">
        <f t="array" ref="BF104">SUMPRODUCT((1/COUNTIFS($A$3:$A104,$A$3:$A104,$H$3:$H104,$H$3:$H104,$I$3:$I104,$I$3:$I104)))</f>
        <v>46.000000000000021</v>
      </c>
      <c r="BG104" s="13"/>
    </row>
    <row r="105" spans="1:59" x14ac:dyDescent="0.2">
      <c r="A105" s="91">
        <v>46281</v>
      </c>
      <c r="C105" s="37">
        <v>12.37</v>
      </c>
      <c r="D105" s="13" t="s">
        <v>133</v>
      </c>
      <c r="E105" s="13" t="s">
        <v>142</v>
      </c>
      <c r="H105" t="s">
        <v>140</v>
      </c>
      <c r="I105" s="13">
        <v>5</v>
      </c>
      <c r="J105" s="13">
        <v>3</v>
      </c>
      <c r="K105" t="s">
        <v>279</v>
      </c>
      <c r="L105" s="37">
        <v>0.5</v>
      </c>
      <c r="M105" s="37">
        <v>12.5</v>
      </c>
      <c r="N105" s="37">
        <v>14.54</v>
      </c>
      <c r="O105" s="37" t="s">
        <v>17</v>
      </c>
      <c r="Q105" s="13" t="s">
        <v>4</v>
      </c>
      <c r="R105" s="37">
        <v>13.456799999999999</v>
      </c>
      <c r="S105" s="13" t="s">
        <v>136</v>
      </c>
      <c r="T105" s="38" t="str">
        <f t="shared" si="128"/>
        <v>0.00</v>
      </c>
      <c r="U105" s="38">
        <f t="shared" si="135"/>
        <v>-0.5</v>
      </c>
      <c r="V105" s="38">
        <f t="shared" si="136"/>
        <v>-7.3995999999999977</v>
      </c>
      <c r="W105" s="38">
        <f t="shared" si="137"/>
        <v>51.5</v>
      </c>
      <c r="X105" s="39">
        <f t="shared" si="138"/>
        <v>-0.14368155339805821</v>
      </c>
      <c r="Y105" s="40">
        <f t="shared" si="139"/>
        <v>-7.3995999999999978E-2</v>
      </c>
      <c r="Z105" s="41">
        <f t="shared" si="140"/>
        <v>-739.95999999999981</v>
      </c>
      <c r="AA105" s="13" t="s">
        <v>57</v>
      </c>
      <c r="AT105" s="37">
        <v>14.5</v>
      </c>
      <c r="AU105" s="37">
        <v>13</v>
      </c>
      <c r="AV105" s="10">
        <f t="shared" si="129"/>
        <v>6.77</v>
      </c>
      <c r="AW105" s="10">
        <f t="shared" si="206"/>
        <v>13.456799999999999</v>
      </c>
      <c r="AZ105" t="str">
        <f t="shared" si="207"/>
        <v>Yes</v>
      </c>
      <c r="BB105" s="37">
        <f t="shared" si="208"/>
        <v>-0.5</v>
      </c>
      <c r="BC105" s="37">
        <f t="shared" si="195"/>
        <v>-1.5</v>
      </c>
      <c r="BD105" s="37">
        <f t="shared" si="209"/>
        <v>-1.5</v>
      </c>
      <c r="BE105" s="37">
        <f t="shared" si="210"/>
        <v>-0.5</v>
      </c>
      <c r="BF105" s="13" cm="1">
        <f t="array" ref="BF105">SUMPRODUCT((1/COUNTIFS($A$3:$A105,$A$3:$A105,$H$3:$H105,$H$3:$H105,$I$3:$I105,$I$3:$I105)))</f>
        <v>46.000000000000021</v>
      </c>
      <c r="BG105" s="13"/>
    </row>
    <row r="106" spans="1:59" x14ac:dyDescent="0.2">
      <c r="A106" s="91">
        <v>46281</v>
      </c>
      <c r="C106" s="37">
        <v>12.37</v>
      </c>
      <c r="D106" s="13" t="s">
        <v>133</v>
      </c>
      <c r="E106" s="13" t="s">
        <v>142</v>
      </c>
      <c r="H106" t="s">
        <v>140</v>
      </c>
      <c r="I106" s="13">
        <v>5</v>
      </c>
      <c r="J106" s="13">
        <v>8</v>
      </c>
      <c r="K106" s="98" t="s">
        <v>280</v>
      </c>
      <c r="L106" s="37">
        <v>0.5</v>
      </c>
      <c r="M106" s="37">
        <v>11</v>
      </c>
      <c r="N106" s="37">
        <v>21</v>
      </c>
      <c r="O106" s="37" t="s">
        <v>17</v>
      </c>
      <c r="Q106" s="13" t="s">
        <v>4</v>
      </c>
      <c r="R106" s="37">
        <v>19.400000000000002</v>
      </c>
      <c r="S106" s="13">
        <v>4</v>
      </c>
      <c r="T106" s="38" t="str">
        <f t="shared" si="128"/>
        <v>0.00</v>
      </c>
      <c r="U106" s="38">
        <f t="shared" si="135"/>
        <v>-0.5</v>
      </c>
      <c r="V106" s="38">
        <f t="shared" si="136"/>
        <v>-7.8995999999999977</v>
      </c>
      <c r="W106" s="38">
        <f t="shared" si="137"/>
        <v>52</v>
      </c>
      <c r="X106" s="39">
        <f t="shared" si="138"/>
        <v>-0.15191538461538456</v>
      </c>
      <c r="Y106" s="40">
        <f t="shared" si="139"/>
        <v>-7.8995999999999983E-2</v>
      </c>
      <c r="Z106" s="41">
        <f t="shared" si="140"/>
        <v>-789.95999999999981</v>
      </c>
      <c r="AA106" s="13" t="s">
        <v>57</v>
      </c>
      <c r="AT106" s="37">
        <v>13</v>
      </c>
      <c r="AU106" s="37">
        <v>12</v>
      </c>
      <c r="AV106" s="10">
        <f t="shared" si="129"/>
        <v>10</v>
      </c>
      <c r="AW106" s="10">
        <f t="shared" si="206"/>
        <v>19.400000000000002</v>
      </c>
      <c r="AZ106" t="str">
        <f t="shared" si="207"/>
        <v>Yes</v>
      </c>
      <c r="BB106" s="37">
        <f t="shared" si="208"/>
        <v>-0.5</v>
      </c>
      <c r="BC106" s="37">
        <f t="shared" si="195"/>
        <v>-1.5</v>
      </c>
      <c r="BD106" s="37">
        <f t="shared" si="209"/>
        <v>-1.5</v>
      </c>
      <c r="BE106" s="37">
        <f t="shared" si="210"/>
        <v>-0.5</v>
      </c>
      <c r="BF106" s="13" cm="1">
        <f t="array" ref="BF106">SUMPRODUCT((1/COUNTIFS($A$3:$A106,$A$3:$A106,$H$3:$H106,$H$3:$H106,$I$3:$I106,$I$3:$I106)))</f>
        <v>46.000000000000028</v>
      </c>
      <c r="BG106" s="13"/>
    </row>
    <row r="107" spans="1:59" x14ac:dyDescent="0.2">
      <c r="A107" s="91">
        <v>46281</v>
      </c>
      <c r="C107" s="37">
        <v>12.37</v>
      </c>
      <c r="D107" s="13" t="s">
        <v>133</v>
      </c>
      <c r="E107" s="13" t="s">
        <v>134</v>
      </c>
      <c r="H107" t="s">
        <v>137</v>
      </c>
      <c r="I107" s="13">
        <v>6</v>
      </c>
      <c r="J107" s="13">
        <v>9</v>
      </c>
      <c r="K107" t="s">
        <v>282</v>
      </c>
      <c r="L107" s="37">
        <v>0.5</v>
      </c>
      <c r="M107" s="37">
        <v>12</v>
      </c>
      <c r="N107" s="37">
        <v>18</v>
      </c>
      <c r="O107" s="37" t="s">
        <v>17</v>
      </c>
      <c r="Q107" s="13" t="s">
        <v>4</v>
      </c>
      <c r="R107" s="37">
        <v>16.64</v>
      </c>
      <c r="S107" s="13" t="s">
        <v>136</v>
      </c>
      <c r="T107" s="38" t="str">
        <f t="shared" si="128"/>
        <v>0.00</v>
      </c>
      <c r="U107" s="38">
        <f t="shared" si="135"/>
        <v>-0.5</v>
      </c>
      <c r="V107" s="38">
        <f t="shared" si="136"/>
        <v>-8.3995999999999977</v>
      </c>
      <c r="W107" s="38">
        <f t="shared" si="137"/>
        <v>52.5</v>
      </c>
      <c r="X107" s="39">
        <f t="shared" si="138"/>
        <v>-0.15999238095238091</v>
      </c>
      <c r="Y107" s="40">
        <f t="shared" si="139"/>
        <v>-8.3995999999999973E-2</v>
      </c>
      <c r="Z107" s="41">
        <f t="shared" si="140"/>
        <v>-839.95999999999981</v>
      </c>
      <c r="AA107" s="13" t="s">
        <v>57</v>
      </c>
      <c r="AT107" s="37">
        <v>14.3</v>
      </c>
      <c r="AU107" s="37">
        <v>12</v>
      </c>
      <c r="AV107" s="10">
        <f t="shared" si="129"/>
        <v>8.5</v>
      </c>
      <c r="AW107" s="10">
        <f t="shared" ref="AW107:AW109" si="211">0.92*(N107-1)+1</f>
        <v>16.64</v>
      </c>
      <c r="AZ107" t="str">
        <f t="shared" ref="AZ107:AZ109" si="212">IF(N107&gt;=M107,"Yes","No")</f>
        <v>Yes</v>
      </c>
      <c r="BB107" s="37">
        <f t="shared" ref="BB107:BB109" si="213">IF(AA107="W",
   L107*(N107-1),
   -L107
)</f>
        <v>-0.5</v>
      </c>
      <c r="BC107" s="37">
        <f t="shared" si="195"/>
        <v>-1.5</v>
      </c>
      <c r="BD107" s="37">
        <f t="shared" ref="BD107:BD109" si="214">IF(BC107&gt;0, BC107*0.92, BC107)</f>
        <v>-1.5</v>
      </c>
      <c r="BE107" s="37">
        <f t="shared" ref="BE107:BE109" si="215">IF(
  BC107&gt;0,
  IF(
    AA107="W",
    BB107 - (BC107 - BD107),
    BB107
  ),
  BB107
)</f>
        <v>-0.5</v>
      </c>
      <c r="BF107" s="13" cm="1">
        <f t="array" ref="BF107">SUMPRODUCT((1/COUNTIFS($A$3:$A107,$A$3:$A107,$H$3:$H107,$H$3:$H107,$I$3:$I107,$I$3:$I107)))</f>
        <v>47.000000000000028</v>
      </c>
      <c r="BG107" s="13"/>
    </row>
    <row r="108" spans="1:59" x14ac:dyDescent="0.2">
      <c r="A108" s="91">
        <v>46281</v>
      </c>
      <c r="C108" s="37">
        <v>12.37</v>
      </c>
      <c r="D108" s="13" t="s">
        <v>133</v>
      </c>
      <c r="E108" s="13" t="s">
        <v>134</v>
      </c>
      <c r="H108" t="s">
        <v>137</v>
      </c>
      <c r="I108" s="13">
        <v>6</v>
      </c>
      <c r="J108" s="13">
        <v>12</v>
      </c>
      <c r="K108" t="s">
        <v>283</v>
      </c>
      <c r="L108" s="37">
        <v>0.5</v>
      </c>
      <c r="M108" s="37">
        <v>9.8000000000000007</v>
      </c>
      <c r="N108" s="37">
        <v>20.02</v>
      </c>
      <c r="O108" s="37" t="s">
        <v>17</v>
      </c>
      <c r="Q108" s="13" t="s">
        <v>4</v>
      </c>
      <c r="R108" s="37">
        <v>18.4984</v>
      </c>
      <c r="S108" s="13" t="s">
        <v>136</v>
      </c>
      <c r="T108" s="38" t="str">
        <f t="shared" si="128"/>
        <v>0.00</v>
      </c>
      <c r="U108" s="38">
        <f t="shared" si="135"/>
        <v>-0.5</v>
      </c>
      <c r="V108" s="38">
        <f t="shared" si="136"/>
        <v>-8.8995999999999977</v>
      </c>
      <c r="W108" s="38">
        <f t="shared" si="137"/>
        <v>53</v>
      </c>
      <c r="X108" s="39">
        <f t="shared" si="138"/>
        <v>-0.16791698113207543</v>
      </c>
      <c r="Y108" s="40">
        <f t="shared" si="139"/>
        <v>-8.8995999999999978E-2</v>
      </c>
      <c r="Z108" s="41">
        <f t="shared" si="140"/>
        <v>-889.95999999999981</v>
      </c>
      <c r="AA108" s="13" t="s">
        <v>57</v>
      </c>
      <c r="AT108" s="37">
        <v>17</v>
      </c>
      <c r="AU108" s="37">
        <v>17</v>
      </c>
      <c r="AV108" s="10">
        <f t="shared" si="129"/>
        <v>9.51</v>
      </c>
      <c r="AW108" s="10">
        <f t="shared" si="211"/>
        <v>18.4984</v>
      </c>
      <c r="AZ108" t="str">
        <f t="shared" si="212"/>
        <v>Yes</v>
      </c>
      <c r="BB108" s="37">
        <f t="shared" si="213"/>
        <v>-0.5</v>
      </c>
      <c r="BC108" s="37">
        <f t="shared" si="195"/>
        <v>-1.5</v>
      </c>
      <c r="BD108" s="37">
        <f t="shared" si="214"/>
        <v>-1.5</v>
      </c>
      <c r="BE108" s="37">
        <f t="shared" si="215"/>
        <v>-0.5</v>
      </c>
      <c r="BF108" s="13" cm="1">
        <f t="array" ref="BF108">SUMPRODUCT((1/COUNTIFS($A$3:$A108,$A$3:$A108,$H$3:$H108,$H$3:$H108,$I$3:$I108,$I$3:$I108)))</f>
        <v>47.000000000000028</v>
      </c>
      <c r="BG108" s="13"/>
    </row>
    <row r="109" spans="1:59" x14ac:dyDescent="0.2">
      <c r="A109" s="91">
        <v>46281</v>
      </c>
      <c r="C109" s="37">
        <v>12.37</v>
      </c>
      <c r="D109" s="13" t="s">
        <v>133</v>
      </c>
      <c r="E109" s="13" t="s">
        <v>134</v>
      </c>
      <c r="H109" t="s">
        <v>137</v>
      </c>
      <c r="I109" s="13">
        <v>6</v>
      </c>
      <c r="J109" s="13">
        <v>14</v>
      </c>
      <c r="K109" s="98" t="s">
        <v>284</v>
      </c>
      <c r="L109" s="37">
        <v>0.5</v>
      </c>
      <c r="M109" s="37">
        <v>17</v>
      </c>
      <c r="N109" s="37">
        <v>17</v>
      </c>
      <c r="O109" s="37" t="s">
        <v>17</v>
      </c>
      <c r="Q109" s="13" t="s">
        <v>4</v>
      </c>
      <c r="R109" s="37">
        <v>15.72</v>
      </c>
      <c r="S109" s="13">
        <v>4</v>
      </c>
      <c r="T109" s="38" t="str">
        <f t="shared" si="128"/>
        <v>0.00</v>
      </c>
      <c r="U109" s="38">
        <f t="shared" si="135"/>
        <v>-0.5</v>
      </c>
      <c r="V109" s="38">
        <f t="shared" si="136"/>
        <v>-9.3995999999999977</v>
      </c>
      <c r="W109" s="38">
        <f t="shared" si="137"/>
        <v>53.5</v>
      </c>
      <c r="X109" s="39">
        <f t="shared" si="138"/>
        <v>-0.17569345794392519</v>
      </c>
      <c r="Y109" s="40">
        <f t="shared" si="139"/>
        <v>-9.3995999999999982E-2</v>
      </c>
      <c r="Z109" s="41">
        <f t="shared" si="140"/>
        <v>-939.95999999999981</v>
      </c>
      <c r="AA109" s="13" t="s">
        <v>57</v>
      </c>
      <c r="AT109" s="37">
        <v>13</v>
      </c>
      <c r="AU109" s="37">
        <v>13</v>
      </c>
      <c r="AV109" s="10">
        <f t="shared" si="129"/>
        <v>8</v>
      </c>
      <c r="AW109" s="10">
        <f t="shared" si="211"/>
        <v>15.72</v>
      </c>
      <c r="AZ109" t="str">
        <f t="shared" si="212"/>
        <v>Yes</v>
      </c>
      <c r="BB109" s="37">
        <f t="shared" si="213"/>
        <v>-0.5</v>
      </c>
      <c r="BC109" s="37">
        <f t="shared" si="195"/>
        <v>-1.5</v>
      </c>
      <c r="BD109" s="37">
        <f t="shared" si="214"/>
        <v>-1.5</v>
      </c>
      <c r="BE109" s="37">
        <f t="shared" si="215"/>
        <v>-0.5</v>
      </c>
      <c r="BF109" s="13" cm="1">
        <f t="array" ref="BF109">SUMPRODUCT((1/COUNTIFS($A$3:$A109,$A$3:$A109,$H$3:$H109,$H$3:$H109,$I$3:$I109,$I$3:$I109)))</f>
        <v>47.000000000000036</v>
      </c>
      <c r="BG109" s="13"/>
    </row>
    <row r="110" spans="1:59" x14ac:dyDescent="0.2">
      <c r="A110" s="91">
        <v>46281</v>
      </c>
      <c r="C110" s="37">
        <v>12.37</v>
      </c>
      <c r="D110" s="13" t="s">
        <v>133</v>
      </c>
      <c r="E110" s="13" t="s">
        <v>134</v>
      </c>
      <c r="H110" t="s">
        <v>140</v>
      </c>
      <c r="I110" s="13">
        <v>7</v>
      </c>
      <c r="J110" s="13">
        <v>8</v>
      </c>
      <c r="K110" t="s">
        <v>285</v>
      </c>
      <c r="L110" s="37">
        <v>0.5</v>
      </c>
      <c r="M110" s="37">
        <v>22</v>
      </c>
      <c r="N110" s="37">
        <v>34</v>
      </c>
      <c r="O110" s="37" t="s">
        <v>17</v>
      </c>
      <c r="Q110" s="13" t="s">
        <v>4</v>
      </c>
      <c r="R110" s="37">
        <v>31.360000000000003</v>
      </c>
      <c r="S110" s="13" t="s">
        <v>136</v>
      </c>
      <c r="T110" s="38" t="str">
        <f t="shared" si="128"/>
        <v>0.00</v>
      </c>
      <c r="U110" s="38">
        <f t="shared" si="135"/>
        <v>-0.5</v>
      </c>
      <c r="V110" s="38">
        <f t="shared" si="136"/>
        <v>-9.8995999999999977</v>
      </c>
      <c r="W110" s="38">
        <f t="shared" si="137"/>
        <v>54</v>
      </c>
      <c r="X110" s="39">
        <f t="shared" si="138"/>
        <v>-0.18332592592592589</v>
      </c>
      <c r="Y110" s="40">
        <f t="shared" si="139"/>
        <v>-9.8995999999999973E-2</v>
      </c>
      <c r="Z110" s="41">
        <f t="shared" si="140"/>
        <v>-989.95999999999981</v>
      </c>
      <c r="AA110" s="13" t="s">
        <v>57</v>
      </c>
      <c r="AT110" s="37">
        <v>34.6</v>
      </c>
      <c r="AU110" s="37">
        <v>26</v>
      </c>
      <c r="AV110" s="10">
        <f t="shared" si="129"/>
        <v>16.5</v>
      </c>
      <c r="AW110" s="10">
        <f t="shared" ref="AW110" si="216">0.92*(N110-1)+1</f>
        <v>31.360000000000003</v>
      </c>
      <c r="AZ110" t="str">
        <f t="shared" ref="AZ110" si="217">IF(N110&gt;=M110,"Yes","No")</f>
        <v>Yes</v>
      </c>
      <c r="BB110" s="37">
        <f t="shared" ref="BB110" si="218">IF(AA110="W",
   L110*(N110-1),
   -L110
)</f>
        <v>-0.5</v>
      </c>
      <c r="BC110" s="37">
        <f t="shared" si="195"/>
        <v>-0.5</v>
      </c>
      <c r="BD110" s="37">
        <f t="shared" ref="BD110" si="219">IF(BC110&gt;0, BC110*0.92, BC110)</f>
        <v>-0.5</v>
      </c>
      <c r="BE110" s="37">
        <f t="shared" ref="BE110" si="220">IF(
  BC110&gt;0,
  IF(
    AA110="W",
    BB110 - (BC110 - BD110),
    BB110
  ),
  BB110
)</f>
        <v>-0.5</v>
      </c>
      <c r="BF110" s="13" cm="1">
        <f t="array" ref="BF110">SUMPRODUCT((1/COUNTIFS($A$3:$A110,$A$3:$A110,$H$3:$H110,$H$3:$H110,$I$3:$I110,$I$3:$I110)))</f>
        <v>48.000000000000036</v>
      </c>
      <c r="BG110" s="13"/>
    </row>
    <row r="111" spans="1:59" x14ac:dyDescent="0.2">
      <c r="A111" s="91">
        <v>46284</v>
      </c>
      <c r="C111" s="37">
        <v>10.42</v>
      </c>
      <c r="D111" s="13" t="s">
        <v>205</v>
      </c>
      <c r="E111" s="13" t="s">
        <v>134</v>
      </c>
      <c r="H111" t="s">
        <v>138</v>
      </c>
      <c r="I111" s="13">
        <v>1</v>
      </c>
      <c r="J111" s="13">
        <v>3</v>
      </c>
      <c r="K111" t="s">
        <v>289</v>
      </c>
      <c r="L111" s="37">
        <v>0.5</v>
      </c>
      <c r="M111" s="37">
        <v>9</v>
      </c>
      <c r="N111" s="37">
        <v>12</v>
      </c>
      <c r="O111" s="37" t="s">
        <v>17</v>
      </c>
      <c r="Q111" s="13" t="s">
        <v>4</v>
      </c>
      <c r="R111" s="37">
        <v>11.120000000000001</v>
      </c>
      <c r="S111" s="13" t="s">
        <v>136</v>
      </c>
      <c r="T111" s="38" t="str">
        <f t="shared" si="128"/>
        <v>0.00</v>
      </c>
      <c r="U111" s="38">
        <f t="shared" si="135"/>
        <v>-0.5</v>
      </c>
      <c r="V111" s="38">
        <f t="shared" si="136"/>
        <v>-10.399599999999998</v>
      </c>
      <c r="W111" s="38">
        <f t="shared" si="137"/>
        <v>54.5</v>
      </c>
      <c r="X111" s="39">
        <f t="shared" si="138"/>
        <v>-0.19081834862385316</v>
      </c>
      <c r="Y111" s="40">
        <f t="shared" si="139"/>
        <v>-0.10399599999999998</v>
      </c>
      <c r="Z111" s="41">
        <f t="shared" si="140"/>
        <v>-1039.9599999999998</v>
      </c>
      <c r="AA111" s="13" t="s">
        <v>57</v>
      </c>
      <c r="AT111" s="37">
        <v>10.199999999999999</v>
      </c>
      <c r="AU111" s="37">
        <v>8</v>
      </c>
      <c r="AV111" s="10">
        <f t="shared" si="129"/>
        <v>5.5</v>
      </c>
      <c r="AW111" s="10">
        <f t="shared" ref="AW111:AW112" si="221">0.92*(N111-1)+1</f>
        <v>11.120000000000001</v>
      </c>
      <c r="AZ111" t="str">
        <f t="shared" ref="AZ111:AZ112" si="222">IF(N111&gt;=M111,"Yes","No")</f>
        <v>Yes</v>
      </c>
      <c r="BB111" s="37">
        <f t="shared" ref="BB111:BB112" si="223">IF(AA111="W",
   L111*(N111-1),
   -L111
)</f>
        <v>-0.5</v>
      </c>
      <c r="BC111" s="37">
        <f t="shared" si="195"/>
        <v>-1</v>
      </c>
      <c r="BD111" s="37">
        <f t="shared" ref="BD111:BD112" si="224">IF(BC111&gt;0, BC111*0.92, BC111)</f>
        <v>-1</v>
      </c>
      <c r="BE111" s="37">
        <f t="shared" ref="BE111:BE112" si="225">IF(
  BC111&gt;0,
  IF(
    AA111="W",
    BB111 - (BC111 - BD111),
    BB111
  ),
  BB111
)</f>
        <v>-0.5</v>
      </c>
      <c r="BF111" s="13" cm="1">
        <f t="array" ref="BF111">SUMPRODUCT((1/COUNTIFS($A$3:$A111,$A$3:$A111,$H$3:$H111,$H$3:$H111,$I$3:$I111,$I$3:$I111)))</f>
        <v>49.000000000000036</v>
      </c>
      <c r="BG111" s="13"/>
    </row>
    <row r="112" spans="1:59" x14ac:dyDescent="0.2">
      <c r="A112" s="91">
        <v>46284</v>
      </c>
      <c r="C112" s="37">
        <v>10.42</v>
      </c>
      <c r="D112" s="13" t="s">
        <v>205</v>
      </c>
      <c r="E112" s="13" t="s">
        <v>134</v>
      </c>
      <c r="H112" t="s">
        <v>138</v>
      </c>
      <c r="I112" s="13">
        <v>1</v>
      </c>
      <c r="J112" s="13">
        <v>8</v>
      </c>
      <c r="K112" t="s">
        <v>152</v>
      </c>
      <c r="L112" s="37">
        <v>0.5</v>
      </c>
      <c r="M112" s="37">
        <v>18.5</v>
      </c>
      <c r="N112" s="37">
        <v>20.61</v>
      </c>
      <c r="O112" s="37" t="s">
        <v>17</v>
      </c>
      <c r="Q112" s="13" t="s">
        <v>4</v>
      </c>
      <c r="R112" s="37">
        <v>19.0412</v>
      </c>
      <c r="S112" s="13" t="s">
        <v>136</v>
      </c>
      <c r="T112" s="38" t="str">
        <f t="shared" si="128"/>
        <v>0.00</v>
      </c>
      <c r="U112" s="38">
        <f t="shared" si="135"/>
        <v>-0.5</v>
      </c>
      <c r="V112" s="38">
        <f t="shared" si="136"/>
        <v>-10.899599999999998</v>
      </c>
      <c r="W112" s="38">
        <f t="shared" si="137"/>
        <v>55</v>
      </c>
      <c r="X112" s="39">
        <f t="shared" si="138"/>
        <v>-0.19817454545454541</v>
      </c>
      <c r="Y112" s="40">
        <f t="shared" si="139"/>
        <v>-0.10899599999999998</v>
      </c>
      <c r="Z112" s="41">
        <f t="shared" si="140"/>
        <v>-1089.9599999999998</v>
      </c>
      <c r="AA112" s="13" t="s">
        <v>57</v>
      </c>
      <c r="AT112" s="37">
        <v>16.100000000000001</v>
      </c>
      <c r="AU112" s="37">
        <v>16</v>
      </c>
      <c r="AV112" s="10">
        <f t="shared" si="129"/>
        <v>9.8049999999999997</v>
      </c>
      <c r="AW112" s="10">
        <f t="shared" si="221"/>
        <v>19.0412</v>
      </c>
      <c r="AZ112" t="str">
        <f t="shared" si="222"/>
        <v>Yes</v>
      </c>
      <c r="BB112" s="37">
        <f t="shared" si="223"/>
        <v>-0.5</v>
      </c>
      <c r="BC112" s="37">
        <f t="shared" si="195"/>
        <v>-1</v>
      </c>
      <c r="BD112" s="37">
        <f t="shared" si="224"/>
        <v>-1</v>
      </c>
      <c r="BE112" s="37">
        <f t="shared" si="225"/>
        <v>-0.5</v>
      </c>
      <c r="BF112" s="13" cm="1">
        <f t="array" ref="BF112">SUMPRODUCT((1/COUNTIFS($A$3:$A112,$A$3:$A112,$H$3:$H112,$H$3:$H112,$I$3:$I112,$I$3:$I112)))</f>
        <v>49.000000000000036</v>
      </c>
      <c r="BG112" s="13"/>
    </row>
    <row r="113" spans="1:58" x14ac:dyDescent="0.2">
      <c r="A113" s="91">
        <v>46284</v>
      </c>
      <c r="C113" s="37">
        <v>10.42</v>
      </c>
      <c r="D113" s="13" t="s">
        <v>205</v>
      </c>
      <c r="E113" s="13" t="s">
        <v>134</v>
      </c>
      <c r="H113" t="s">
        <v>138</v>
      </c>
      <c r="I113" s="13">
        <v>2</v>
      </c>
      <c r="J113" s="13">
        <v>12</v>
      </c>
      <c r="K113" t="s">
        <v>292</v>
      </c>
      <c r="L113" s="37">
        <v>0.5</v>
      </c>
      <c r="M113" s="37">
        <v>27</v>
      </c>
      <c r="N113" s="37">
        <v>32.340000000000003</v>
      </c>
      <c r="O113" s="37" t="s">
        <v>17</v>
      </c>
      <c r="Q113" s="13" t="s">
        <v>4</v>
      </c>
      <c r="R113" s="37">
        <v>29.832800000000006</v>
      </c>
      <c r="S113" s="13" t="s">
        <v>136</v>
      </c>
      <c r="T113" s="38" t="str">
        <f t="shared" si="128"/>
        <v>0.00</v>
      </c>
      <c r="U113" s="38">
        <f t="shared" si="135"/>
        <v>-0.5</v>
      </c>
      <c r="V113" s="38">
        <f t="shared" si="136"/>
        <v>-11.399599999999998</v>
      </c>
      <c r="W113" s="38">
        <f t="shared" si="137"/>
        <v>55.5</v>
      </c>
      <c r="X113" s="39">
        <f t="shared" si="138"/>
        <v>-0.20539819819819816</v>
      </c>
      <c r="Y113" s="40">
        <f t="shared" si="139"/>
        <v>-0.11399599999999997</v>
      </c>
      <c r="Z113" s="41">
        <f t="shared" si="140"/>
        <v>-1139.9599999999998</v>
      </c>
      <c r="AA113" s="13" t="s">
        <v>57</v>
      </c>
      <c r="AT113" s="37">
        <v>30.2</v>
      </c>
      <c r="AU113" s="37">
        <v>26</v>
      </c>
      <c r="AV113" s="10">
        <f t="shared" si="129"/>
        <v>15.670000000000002</v>
      </c>
      <c r="AW113" s="10">
        <f t="shared" ref="AW113" si="226">0.92*(N113-1)+1</f>
        <v>29.832800000000006</v>
      </c>
      <c r="AZ113" t="str">
        <f t="shared" ref="AZ113" si="227">IF(N113&gt;=M113,"Yes","No")</f>
        <v>Yes</v>
      </c>
      <c r="BB113" s="37">
        <f t="shared" ref="BB113" si="228">IF(AA113="W",
   L113*(N113-1),
   -L113
)</f>
        <v>-0.5</v>
      </c>
      <c r="BC113" s="37">
        <f t="shared" si="195"/>
        <v>-0.5</v>
      </c>
      <c r="BD113" s="37">
        <f t="shared" ref="BD113" si="229">IF(BC113&gt;0, BC113*0.92, BC113)</f>
        <v>-0.5</v>
      </c>
      <c r="BE113" s="37">
        <f t="shared" ref="BE113" si="230">IF(
  BC113&gt;0,
  IF(
    AA113="W",
    BB113 - (BC113 - BD113),
    BB113
  ),
  BB113
)</f>
        <v>-0.5</v>
      </c>
      <c r="BF113" s="13" cm="1">
        <f t="array" ref="BF113">SUMPRODUCT((1/COUNTIFS($A$3:$A113,$A$3:$A113,$H$3:$H113,$H$3:$H113,$I$3:$I113,$I$3:$I113)))</f>
        <v>50.000000000000036</v>
      </c>
    </row>
    <row r="114" spans="1:58" x14ac:dyDescent="0.2">
      <c r="A114" s="91">
        <v>46284</v>
      </c>
      <c r="C114" s="37">
        <v>10.42</v>
      </c>
      <c r="D114" s="13" t="s">
        <v>205</v>
      </c>
      <c r="E114" s="13" t="s">
        <v>142</v>
      </c>
      <c r="H114" t="s">
        <v>141</v>
      </c>
      <c r="I114" s="13">
        <v>1</v>
      </c>
      <c r="J114" s="13">
        <v>10</v>
      </c>
      <c r="K114" s="99" t="s">
        <v>295</v>
      </c>
      <c r="L114" s="37">
        <v>0.5</v>
      </c>
      <c r="M114" s="37">
        <v>23</v>
      </c>
      <c r="N114" s="37">
        <v>27.3</v>
      </c>
      <c r="O114" s="37" t="s">
        <v>17</v>
      </c>
      <c r="Q114" s="13" t="s">
        <v>4</v>
      </c>
      <c r="R114" s="37">
        <v>25.196000000000002</v>
      </c>
      <c r="S114" s="13">
        <v>2</v>
      </c>
      <c r="T114" s="38" t="str">
        <f t="shared" si="128"/>
        <v>0.00</v>
      </c>
      <c r="U114" s="38">
        <f t="shared" si="135"/>
        <v>-0.5</v>
      </c>
      <c r="V114" s="38">
        <f t="shared" si="136"/>
        <v>-11.899599999999998</v>
      </c>
      <c r="W114" s="38">
        <f t="shared" si="137"/>
        <v>56</v>
      </c>
      <c r="X114" s="39">
        <f t="shared" si="138"/>
        <v>-0.21249285714285709</v>
      </c>
      <c r="Y114" s="40">
        <f t="shared" si="139"/>
        <v>-0.11899599999999998</v>
      </c>
      <c r="Z114" s="41">
        <f t="shared" si="140"/>
        <v>-1189.9599999999998</v>
      </c>
      <c r="AA114" s="13" t="s">
        <v>57</v>
      </c>
      <c r="AT114" s="37">
        <v>21</v>
      </c>
      <c r="AU114" s="37">
        <v>21</v>
      </c>
      <c r="AV114" s="10">
        <f t="shared" si="129"/>
        <v>13.15</v>
      </c>
      <c r="AW114" s="10">
        <f t="shared" ref="AW114:AW115" si="231">0.92*(N114-1)+1</f>
        <v>25.196000000000002</v>
      </c>
      <c r="AZ114" t="str">
        <f t="shared" ref="AZ114:AZ115" si="232">IF(N114&gt;=M114,"Yes","No")</f>
        <v>Yes</v>
      </c>
      <c r="BB114" s="37">
        <f t="shared" ref="BB114:BB115" si="233">IF(AA114="W",
   L114*(N114-1),
   -L114
)</f>
        <v>-0.5</v>
      </c>
      <c r="BC114" s="37">
        <f t="shared" si="195"/>
        <v>-1</v>
      </c>
      <c r="BD114" s="37">
        <f t="shared" ref="BD114:BD115" si="234">IF(BC114&gt;0, BC114*0.92, BC114)</f>
        <v>-1</v>
      </c>
      <c r="BE114" s="37">
        <f t="shared" ref="BE114:BE115" si="235">IF(
  BC114&gt;0,
  IF(
    AA114="W",
    BB114 - (BC114 - BD114),
    BB114
  ),
  BB114
)</f>
        <v>-0.5</v>
      </c>
      <c r="BF114" s="13" cm="1">
        <f t="array" ref="BF114">SUMPRODUCT((1/COUNTIFS($A$3:$A114,$A$3:$A114,$H$3:$H114,$H$3:$H114,$I$3:$I114,$I$3:$I114)))</f>
        <v>51.000000000000036</v>
      </c>
    </row>
    <row r="115" spans="1:58" x14ac:dyDescent="0.2">
      <c r="A115" s="91">
        <v>46284</v>
      </c>
      <c r="C115" s="37">
        <v>10.42</v>
      </c>
      <c r="D115" s="13" t="s">
        <v>205</v>
      </c>
      <c r="E115" s="13" t="s">
        <v>142</v>
      </c>
      <c r="H115" t="s">
        <v>141</v>
      </c>
      <c r="I115" s="13">
        <v>1</v>
      </c>
      <c r="J115" s="13">
        <v>11</v>
      </c>
      <c r="K115" t="s">
        <v>296</v>
      </c>
      <c r="L115" s="37">
        <v>0.5</v>
      </c>
      <c r="M115" s="37">
        <v>28</v>
      </c>
      <c r="N115" s="37">
        <v>28</v>
      </c>
      <c r="O115" s="37" t="s">
        <v>17</v>
      </c>
      <c r="Q115" s="13" t="s">
        <v>4</v>
      </c>
      <c r="R115" s="37">
        <v>25.84</v>
      </c>
      <c r="S115" s="13" t="s">
        <v>136</v>
      </c>
      <c r="T115" s="38" t="str">
        <f t="shared" si="128"/>
        <v>0.00</v>
      </c>
      <c r="U115" s="38">
        <f t="shared" si="135"/>
        <v>-0.5</v>
      </c>
      <c r="V115" s="38">
        <f t="shared" si="136"/>
        <v>-12.399599999999998</v>
      </c>
      <c r="W115" s="38">
        <f t="shared" si="137"/>
        <v>56.5</v>
      </c>
      <c r="X115" s="39">
        <f t="shared" si="138"/>
        <v>-0.21946194690265483</v>
      </c>
      <c r="Y115" s="40">
        <f t="shared" si="139"/>
        <v>-0.12399599999999998</v>
      </c>
      <c r="Z115" s="41">
        <f t="shared" si="140"/>
        <v>-1239.9599999999998</v>
      </c>
      <c r="AA115" s="13" t="s">
        <v>57</v>
      </c>
      <c r="AT115" s="37">
        <v>22.9</v>
      </c>
      <c r="AU115" s="37">
        <v>21</v>
      </c>
      <c r="AV115" s="10">
        <f t="shared" si="129"/>
        <v>13.5</v>
      </c>
      <c r="AW115" s="10">
        <f t="shared" si="231"/>
        <v>25.84</v>
      </c>
      <c r="AZ115" t="str">
        <f t="shared" si="232"/>
        <v>Yes</v>
      </c>
      <c r="BB115" s="37">
        <f t="shared" si="233"/>
        <v>-0.5</v>
      </c>
      <c r="BC115" s="37">
        <f t="shared" si="195"/>
        <v>-1</v>
      </c>
      <c r="BD115" s="37">
        <f t="shared" si="234"/>
        <v>-1</v>
      </c>
      <c r="BE115" s="37">
        <f t="shared" si="235"/>
        <v>-0.5</v>
      </c>
      <c r="BF115" s="13" cm="1">
        <f t="array" ref="BF115">SUMPRODUCT((1/COUNTIFS($A$3:$A115,$A$3:$A115,$H$3:$H115,$H$3:$H115,$I$3:$I115,$I$3:$I115)))</f>
        <v>51.000000000000036</v>
      </c>
    </row>
    <row r="116" spans="1:58" x14ac:dyDescent="0.2">
      <c r="A116" s="91">
        <v>46284</v>
      </c>
      <c r="C116" s="37">
        <v>10.42</v>
      </c>
      <c r="D116" s="13" t="s">
        <v>205</v>
      </c>
      <c r="E116" s="13" t="s">
        <v>134</v>
      </c>
      <c r="H116" t="s">
        <v>138</v>
      </c>
      <c r="I116" s="13">
        <v>3</v>
      </c>
      <c r="J116" s="13">
        <v>3</v>
      </c>
      <c r="K116" s="99" t="s">
        <v>297</v>
      </c>
      <c r="L116" s="37">
        <v>0.5</v>
      </c>
      <c r="M116" s="37">
        <v>9.8000000000000007</v>
      </c>
      <c r="N116" s="37">
        <v>14.5</v>
      </c>
      <c r="O116" s="37" t="s">
        <v>17</v>
      </c>
      <c r="Q116" s="13" t="s">
        <v>4</v>
      </c>
      <c r="R116" s="37">
        <v>13.42</v>
      </c>
      <c r="S116" s="13">
        <v>2</v>
      </c>
      <c r="T116" s="38" t="str">
        <f t="shared" si="128"/>
        <v>0.00</v>
      </c>
      <c r="U116" s="38">
        <f t="shared" si="135"/>
        <v>-0.5</v>
      </c>
      <c r="V116" s="38">
        <f t="shared" si="136"/>
        <v>-12.899599999999998</v>
      </c>
      <c r="W116" s="38">
        <f t="shared" si="137"/>
        <v>57</v>
      </c>
      <c r="X116" s="39">
        <f t="shared" si="138"/>
        <v>-0.22630877192982451</v>
      </c>
      <c r="Y116" s="40">
        <f t="shared" si="139"/>
        <v>-0.12899599999999997</v>
      </c>
      <c r="Z116" s="41">
        <f t="shared" si="140"/>
        <v>-1289.9599999999998</v>
      </c>
      <c r="AA116" s="13" t="s">
        <v>57</v>
      </c>
      <c r="AT116" s="37">
        <v>12.5</v>
      </c>
      <c r="AU116" s="37">
        <v>11</v>
      </c>
      <c r="AV116" s="10">
        <f t="shared" si="129"/>
        <v>6.75</v>
      </c>
      <c r="AW116" s="10">
        <f t="shared" ref="AW116:AW119" si="236">0.92*(N116-1)+1</f>
        <v>13.42</v>
      </c>
      <c r="AZ116" t="str">
        <f t="shared" ref="AZ116:AZ119" si="237">IF(N116&gt;=M116,"Yes","No")</f>
        <v>Yes</v>
      </c>
      <c r="BB116" s="37">
        <f t="shared" ref="BB116:BB119" si="238">IF(AA116="W",
   L116*(N116-1),
   -L116
)</f>
        <v>-0.5</v>
      </c>
      <c r="BC116" s="37">
        <f t="shared" si="195"/>
        <v>-2</v>
      </c>
      <c r="BD116" s="37">
        <f t="shared" ref="BD116:BD119" si="239">IF(BC116&gt;0, BC116*0.92, BC116)</f>
        <v>-2</v>
      </c>
      <c r="BE116" s="37">
        <f t="shared" ref="BE116:BE119" si="240">IF(
  BC116&gt;0,
  IF(
    AA116="W",
    BB116 - (BC116 - BD116),
    BB116
  ),
  BB116
)</f>
        <v>-0.5</v>
      </c>
      <c r="BF116" s="13" cm="1">
        <f t="array" ref="BF116">SUMPRODUCT((1/COUNTIFS($A$3:$A116,$A$3:$A116,$H$3:$H116,$H$3:$H116,$I$3:$I116,$I$3:$I116)))</f>
        <v>52.000000000000036</v>
      </c>
    </row>
    <row r="117" spans="1:58" x14ac:dyDescent="0.2">
      <c r="A117" s="91">
        <v>46284</v>
      </c>
      <c r="C117" s="37">
        <v>10.42</v>
      </c>
      <c r="D117" s="13" t="s">
        <v>205</v>
      </c>
      <c r="E117" s="13" t="s">
        <v>134</v>
      </c>
      <c r="H117" t="s">
        <v>138</v>
      </c>
      <c r="I117" s="13">
        <v>3</v>
      </c>
      <c r="J117" s="13">
        <v>4</v>
      </c>
      <c r="K117" t="s">
        <v>298</v>
      </c>
      <c r="L117" s="37">
        <v>0.5</v>
      </c>
      <c r="M117" s="37">
        <v>8.6</v>
      </c>
      <c r="N117" s="37">
        <v>15.53</v>
      </c>
      <c r="O117" s="37" t="s">
        <v>17</v>
      </c>
      <c r="Q117" s="13" t="s">
        <v>4</v>
      </c>
      <c r="R117" s="37">
        <v>14.367599999999999</v>
      </c>
      <c r="S117" s="13" t="s">
        <v>136</v>
      </c>
      <c r="T117" s="38" t="str">
        <f t="shared" si="128"/>
        <v>0.00</v>
      </c>
      <c r="U117" s="38">
        <f t="shared" si="135"/>
        <v>-0.5</v>
      </c>
      <c r="V117" s="38">
        <f t="shared" si="136"/>
        <v>-13.399599999999998</v>
      </c>
      <c r="W117" s="38">
        <f t="shared" si="137"/>
        <v>57.5</v>
      </c>
      <c r="X117" s="39">
        <f t="shared" si="138"/>
        <v>-0.23303652173913039</v>
      </c>
      <c r="Y117" s="40">
        <f t="shared" si="139"/>
        <v>-0.13399599999999998</v>
      </c>
      <c r="Z117" s="41">
        <f t="shared" si="140"/>
        <v>-1339.9599999999998</v>
      </c>
      <c r="AA117" s="13" t="s">
        <v>57</v>
      </c>
      <c r="AT117" s="37">
        <v>11</v>
      </c>
      <c r="AU117" s="37">
        <v>11</v>
      </c>
      <c r="AV117" s="10">
        <f t="shared" si="129"/>
        <v>7.2649999999999997</v>
      </c>
      <c r="AW117" s="10">
        <f t="shared" si="236"/>
        <v>14.367599999999999</v>
      </c>
      <c r="AZ117" t="str">
        <f t="shared" si="237"/>
        <v>Yes</v>
      </c>
      <c r="BB117" s="37">
        <f t="shared" si="238"/>
        <v>-0.5</v>
      </c>
      <c r="BC117" s="37">
        <f t="shared" si="195"/>
        <v>-2</v>
      </c>
      <c r="BD117" s="37">
        <f t="shared" si="239"/>
        <v>-2</v>
      </c>
      <c r="BE117" s="37">
        <f t="shared" si="240"/>
        <v>-0.5</v>
      </c>
      <c r="BF117" s="13" cm="1">
        <f t="array" ref="BF117">SUMPRODUCT((1/COUNTIFS($A$3:$A117,$A$3:$A117,$H$3:$H117,$H$3:$H117,$I$3:$I117,$I$3:$I117)))</f>
        <v>52.000000000000036</v>
      </c>
    </row>
    <row r="118" spans="1:58" x14ac:dyDescent="0.2">
      <c r="A118" s="91">
        <v>46284</v>
      </c>
      <c r="C118" s="37">
        <v>10.42</v>
      </c>
      <c r="D118" s="13" t="s">
        <v>205</v>
      </c>
      <c r="E118" s="13" t="s">
        <v>134</v>
      </c>
      <c r="H118" t="s">
        <v>138</v>
      </c>
      <c r="I118" s="13">
        <v>3</v>
      </c>
      <c r="J118" s="13">
        <v>6</v>
      </c>
      <c r="K118" t="s">
        <v>201</v>
      </c>
      <c r="L118" s="37">
        <v>0.5</v>
      </c>
      <c r="M118" s="37">
        <v>13</v>
      </c>
      <c r="N118" s="37">
        <v>14.62</v>
      </c>
      <c r="O118" s="37" t="s">
        <v>17</v>
      </c>
      <c r="Q118" s="13" t="s">
        <v>4</v>
      </c>
      <c r="R118" s="37">
        <v>13.5304</v>
      </c>
      <c r="S118" s="13" t="s">
        <v>136</v>
      </c>
      <c r="T118" s="38" t="str">
        <f t="shared" si="128"/>
        <v>0.00</v>
      </c>
      <c r="U118" s="38">
        <f t="shared" si="135"/>
        <v>-0.5</v>
      </c>
      <c r="V118" s="38">
        <f t="shared" si="136"/>
        <v>-13.899599999999998</v>
      </c>
      <c r="W118" s="38">
        <f t="shared" si="137"/>
        <v>58</v>
      </c>
      <c r="X118" s="39">
        <f t="shared" si="138"/>
        <v>-0.23964827586206894</v>
      </c>
      <c r="Y118" s="40">
        <f t="shared" si="139"/>
        <v>-0.13899599999999998</v>
      </c>
      <c r="Z118" s="41">
        <f t="shared" si="140"/>
        <v>-1389.9599999999998</v>
      </c>
      <c r="AA118" s="13" t="s">
        <v>57</v>
      </c>
      <c r="AT118" s="37">
        <v>12.4</v>
      </c>
      <c r="AU118" s="37">
        <v>12</v>
      </c>
      <c r="AV118" s="10">
        <f t="shared" si="129"/>
        <v>6.81</v>
      </c>
      <c r="AW118" s="10">
        <f t="shared" si="236"/>
        <v>13.5304</v>
      </c>
      <c r="AZ118" t="str">
        <f t="shared" si="237"/>
        <v>Yes</v>
      </c>
      <c r="BB118" s="37">
        <f t="shared" si="238"/>
        <v>-0.5</v>
      </c>
      <c r="BC118" s="37">
        <f t="shared" si="195"/>
        <v>-2</v>
      </c>
      <c r="BD118" s="37">
        <f t="shared" si="239"/>
        <v>-2</v>
      </c>
      <c r="BE118" s="37">
        <f t="shared" si="240"/>
        <v>-0.5</v>
      </c>
      <c r="BF118" s="13" cm="1">
        <f t="array" ref="BF118">SUMPRODUCT((1/COUNTIFS($A$3:$A118,$A$3:$A118,$H$3:$H118,$H$3:$H118,$I$3:$I118,$I$3:$I118)))</f>
        <v>52.000000000000043</v>
      </c>
    </row>
    <row r="119" spans="1:58" x14ac:dyDescent="0.2">
      <c r="A119" s="91">
        <v>46284</v>
      </c>
      <c r="C119" s="37">
        <v>10.42</v>
      </c>
      <c r="D119" s="13" t="s">
        <v>205</v>
      </c>
      <c r="E119" s="13" t="s">
        <v>134</v>
      </c>
      <c r="H119" t="s">
        <v>138</v>
      </c>
      <c r="I119" s="13">
        <v>3</v>
      </c>
      <c r="J119" s="13">
        <v>8</v>
      </c>
      <c r="K119" t="s">
        <v>299</v>
      </c>
      <c r="L119" s="37">
        <v>0.5</v>
      </c>
      <c r="M119" s="37">
        <v>28</v>
      </c>
      <c r="N119" s="37">
        <v>28</v>
      </c>
      <c r="O119" s="37" t="s">
        <v>17</v>
      </c>
      <c r="Q119" s="13" t="s">
        <v>4</v>
      </c>
      <c r="R119" s="37">
        <v>25.84</v>
      </c>
      <c r="S119" s="13" t="s">
        <v>136</v>
      </c>
      <c r="T119" s="38" t="str">
        <f t="shared" si="128"/>
        <v>0.00</v>
      </c>
      <c r="U119" s="38">
        <f t="shared" si="135"/>
        <v>-0.5</v>
      </c>
      <c r="V119" s="38">
        <f t="shared" si="136"/>
        <v>-14.399599999999998</v>
      </c>
      <c r="W119" s="38">
        <f t="shared" si="137"/>
        <v>58.5</v>
      </c>
      <c r="X119" s="39">
        <f t="shared" si="138"/>
        <v>-0.24614700854700849</v>
      </c>
      <c r="Y119" s="40">
        <f t="shared" si="139"/>
        <v>-0.14399599999999999</v>
      </c>
      <c r="Z119" s="41">
        <f t="shared" si="140"/>
        <v>-1439.9599999999998</v>
      </c>
      <c r="AA119" s="13" t="s">
        <v>57</v>
      </c>
      <c r="AT119" s="37">
        <v>27.1</v>
      </c>
      <c r="AU119" s="37">
        <v>31</v>
      </c>
      <c r="AV119" s="10">
        <f t="shared" si="129"/>
        <v>13.5</v>
      </c>
      <c r="AW119" s="10">
        <f t="shared" si="236"/>
        <v>25.84</v>
      </c>
      <c r="AZ119" t="str">
        <f t="shared" si="237"/>
        <v>Yes</v>
      </c>
      <c r="BB119" s="37">
        <f t="shared" si="238"/>
        <v>-0.5</v>
      </c>
      <c r="BC119" s="37">
        <f t="shared" si="195"/>
        <v>-2</v>
      </c>
      <c r="BD119" s="37">
        <f t="shared" si="239"/>
        <v>-2</v>
      </c>
      <c r="BE119" s="37">
        <f t="shared" si="240"/>
        <v>-0.5</v>
      </c>
      <c r="BF119" s="13" cm="1">
        <f t="array" ref="BF119">SUMPRODUCT((1/COUNTIFS($A$3:$A119,$A$3:$A119,$H$3:$H119,$H$3:$H119,$I$3:$I119,$I$3:$I119)))</f>
        <v>52.000000000000036</v>
      </c>
    </row>
    <row r="120" spans="1:58" x14ac:dyDescent="0.2">
      <c r="A120" s="91">
        <v>46284</v>
      </c>
      <c r="C120" s="37">
        <v>10.42</v>
      </c>
      <c r="D120" s="13" t="s">
        <v>205</v>
      </c>
      <c r="E120" s="13" t="s">
        <v>142</v>
      </c>
      <c r="H120" t="s">
        <v>141</v>
      </c>
      <c r="I120" s="13">
        <v>2</v>
      </c>
      <c r="J120" s="13">
        <v>10</v>
      </c>
      <c r="K120" s="92" t="s">
        <v>301</v>
      </c>
      <c r="L120" s="37">
        <v>0.5</v>
      </c>
      <c r="M120" s="37">
        <v>12.5</v>
      </c>
      <c r="N120" s="37">
        <v>18.5</v>
      </c>
      <c r="O120" s="37" t="s">
        <v>17</v>
      </c>
      <c r="Q120" s="13" t="s">
        <v>4</v>
      </c>
      <c r="R120" s="37">
        <v>17.100000000000001</v>
      </c>
      <c r="S120" s="13">
        <v>3</v>
      </c>
      <c r="T120" s="38" t="str">
        <f t="shared" si="128"/>
        <v>0.00</v>
      </c>
      <c r="U120" s="38">
        <f t="shared" si="135"/>
        <v>-0.5</v>
      </c>
      <c r="V120" s="38">
        <f t="shared" si="136"/>
        <v>-14.899599999999998</v>
      </c>
      <c r="W120" s="38">
        <f t="shared" si="137"/>
        <v>59</v>
      </c>
      <c r="X120" s="39">
        <f t="shared" si="138"/>
        <v>-0.25253559322033897</v>
      </c>
      <c r="Y120" s="40">
        <f t="shared" si="139"/>
        <v>-0.14899599999999999</v>
      </c>
      <c r="Z120" s="41">
        <f t="shared" si="140"/>
        <v>-1489.9599999999998</v>
      </c>
      <c r="AA120" s="13" t="s">
        <v>57</v>
      </c>
      <c r="AT120" s="37">
        <v>17.3</v>
      </c>
      <c r="AU120" s="37">
        <v>15</v>
      </c>
      <c r="AV120" s="10">
        <f t="shared" si="129"/>
        <v>8.75</v>
      </c>
      <c r="AW120" s="10">
        <f t="shared" ref="AW120" si="241">0.92*(N120-1)+1</f>
        <v>17.100000000000001</v>
      </c>
      <c r="AZ120" t="str">
        <f t="shared" ref="AZ120" si="242">IF(N120&gt;=M120,"Yes","No")</f>
        <v>Yes</v>
      </c>
      <c r="BB120" s="37">
        <f t="shared" ref="BB120" si="243">IF(AA120="W",
   L120*(N120-1),
   -L120
)</f>
        <v>-0.5</v>
      </c>
      <c r="BC120" s="37">
        <f t="shared" si="195"/>
        <v>-0.5</v>
      </c>
      <c r="BD120" s="37">
        <f t="shared" ref="BD120" si="244">IF(BC120&gt;0, BC120*0.92, BC120)</f>
        <v>-0.5</v>
      </c>
      <c r="BE120" s="37">
        <f t="shared" ref="BE120" si="245">IF(
  BC120&gt;0,
  IF(
    AA120="W",
    BB120 - (BC120 - BD120),
    BB120
  ),
  BB120
)</f>
        <v>-0.5</v>
      </c>
      <c r="BF120" s="13" cm="1">
        <f t="array" ref="BF120">SUMPRODUCT((1/COUNTIFS($A$3:$A120,$A$3:$A120,$H$3:$H120,$H$3:$H120,$I$3:$I120,$I$3:$I120)))</f>
        <v>53.000000000000036</v>
      </c>
    </row>
    <row r="121" spans="1:58" x14ac:dyDescent="0.2">
      <c r="A121" s="91">
        <v>46284</v>
      </c>
      <c r="C121" s="37">
        <v>10.42</v>
      </c>
      <c r="D121" s="13" t="s">
        <v>205</v>
      </c>
      <c r="E121" s="13" t="s">
        <v>134</v>
      </c>
      <c r="H121" t="s">
        <v>138</v>
      </c>
      <c r="I121" s="13">
        <v>4</v>
      </c>
      <c r="J121" s="13">
        <v>6</v>
      </c>
      <c r="K121" s="98" t="s">
        <v>302</v>
      </c>
      <c r="L121" s="37">
        <v>0.5</v>
      </c>
      <c r="M121" s="37">
        <v>17</v>
      </c>
      <c r="N121" s="37">
        <v>21.39</v>
      </c>
      <c r="O121" s="37" t="s">
        <v>17</v>
      </c>
      <c r="Q121" s="13" t="s">
        <v>4</v>
      </c>
      <c r="R121" s="37">
        <v>19.758800000000001</v>
      </c>
      <c r="S121" s="13">
        <v>4</v>
      </c>
      <c r="T121" s="38" t="str">
        <f t="shared" si="128"/>
        <v>0.00</v>
      </c>
      <c r="U121" s="38">
        <f t="shared" si="135"/>
        <v>-0.5</v>
      </c>
      <c r="V121" s="38">
        <f t="shared" si="136"/>
        <v>-15.399599999999998</v>
      </c>
      <c r="W121" s="38">
        <f t="shared" si="137"/>
        <v>59.5</v>
      </c>
      <c r="X121" s="39">
        <f t="shared" si="138"/>
        <v>-0.25881680672268903</v>
      </c>
      <c r="Y121" s="40">
        <f t="shared" si="139"/>
        <v>-0.15399599999999997</v>
      </c>
      <c r="Z121" s="41">
        <f t="shared" si="140"/>
        <v>-1539.9599999999998</v>
      </c>
      <c r="AA121" s="13" t="s">
        <v>57</v>
      </c>
      <c r="AT121" s="37">
        <v>23.3</v>
      </c>
      <c r="AU121" s="37">
        <v>19</v>
      </c>
      <c r="AV121" s="10">
        <f t="shared" si="129"/>
        <v>10.195</v>
      </c>
      <c r="AW121" s="10">
        <f t="shared" ref="AW121" si="246">0.92*(N121-1)+1</f>
        <v>19.758800000000001</v>
      </c>
      <c r="AZ121" t="str">
        <f t="shared" ref="AZ121" si="247">IF(N121&gt;=M121,"Yes","No")</f>
        <v>Yes</v>
      </c>
      <c r="BB121" s="37">
        <f t="shared" ref="BB121" si="248">IF(AA121="W",
   L121*(N121-1),
   -L121
)</f>
        <v>-0.5</v>
      </c>
      <c r="BC121" s="37">
        <f t="shared" si="195"/>
        <v>-0.5</v>
      </c>
      <c r="BD121" s="37">
        <f t="shared" ref="BD121" si="249">IF(BC121&gt;0, BC121*0.92, BC121)</f>
        <v>-0.5</v>
      </c>
      <c r="BE121" s="37">
        <f t="shared" ref="BE121" si="250">IF(
  BC121&gt;0,
  IF(
    AA121="W",
    BB121 - (BC121 - BD121),
    BB121
  ),
  BB121
)</f>
        <v>-0.5</v>
      </c>
      <c r="BF121" s="13" cm="1">
        <f t="array" ref="BF121">SUMPRODUCT((1/COUNTIFS($A$3:$A121,$A$3:$A121,$H$3:$H121,$H$3:$H121,$I$3:$I121,$I$3:$I121)))</f>
        <v>54.000000000000036</v>
      </c>
    </row>
    <row r="122" spans="1:58" x14ac:dyDescent="0.2">
      <c r="A122" s="91">
        <v>46284</v>
      </c>
      <c r="C122" s="37">
        <v>10.42</v>
      </c>
      <c r="D122" s="13" t="s">
        <v>205</v>
      </c>
      <c r="E122" s="13" t="s">
        <v>142</v>
      </c>
      <c r="H122" t="s">
        <v>141</v>
      </c>
      <c r="I122" s="13">
        <v>3</v>
      </c>
      <c r="J122" s="13">
        <v>5</v>
      </c>
      <c r="K122" t="s">
        <v>303</v>
      </c>
      <c r="L122" s="37">
        <v>0.5</v>
      </c>
      <c r="M122" s="37">
        <v>29</v>
      </c>
      <c r="N122" s="37">
        <v>46.18</v>
      </c>
      <c r="O122" s="37" t="s">
        <v>17</v>
      </c>
      <c r="Q122" s="13" t="s">
        <v>4</v>
      </c>
      <c r="R122" s="37">
        <v>42.565600000000003</v>
      </c>
      <c r="S122" s="13" t="s">
        <v>136</v>
      </c>
      <c r="T122" s="38" t="str">
        <f t="shared" si="128"/>
        <v>0.00</v>
      </c>
      <c r="U122" s="38">
        <f t="shared" si="135"/>
        <v>-0.5</v>
      </c>
      <c r="V122" s="38">
        <f t="shared" si="136"/>
        <v>-15.899599999999998</v>
      </c>
      <c r="W122" s="38">
        <f t="shared" si="137"/>
        <v>60</v>
      </c>
      <c r="X122" s="39">
        <f t="shared" si="138"/>
        <v>-0.2649933333333333</v>
      </c>
      <c r="Y122" s="40">
        <f t="shared" si="139"/>
        <v>-0.15899599999999997</v>
      </c>
      <c r="Z122" s="41">
        <f t="shared" si="140"/>
        <v>-1589.9599999999998</v>
      </c>
      <c r="AA122" s="13" t="s">
        <v>57</v>
      </c>
      <c r="AT122" s="37">
        <v>36.299999999999997</v>
      </c>
      <c r="AU122" s="37">
        <v>31</v>
      </c>
      <c r="AV122" s="10">
        <f t="shared" si="129"/>
        <v>22.59</v>
      </c>
      <c r="AW122" s="10">
        <f t="shared" ref="AW122:AW123" si="251">0.92*(N122-1)+1</f>
        <v>42.565600000000003</v>
      </c>
      <c r="AZ122" t="str">
        <f t="shared" ref="AZ122:AZ123" si="252">IF(N122&gt;=M122,"Yes","No")</f>
        <v>Yes</v>
      </c>
      <c r="BB122" s="37">
        <f t="shared" ref="BB122:BB123" si="253">IF(AA122="W",
   L122*(N122-1),
   -L122
)</f>
        <v>-0.5</v>
      </c>
      <c r="BC122" s="37">
        <f t="shared" si="195"/>
        <v>-1</v>
      </c>
      <c r="BD122" s="37">
        <f t="shared" ref="BD122:BD123" si="254">IF(BC122&gt;0, BC122*0.92, BC122)</f>
        <v>-1</v>
      </c>
      <c r="BE122" s="37">
        <f t="shared" ref="BE122:BE123" si="255">IF(
  BC122&gt;0,
  IF(
    AA122="W",
    BB122 - (BC122 - BD122),
    BB122
  ),
  BB122
)</f>
        <v>-0.5</v>
      </c>
      <c r="BF122" s="13" cm="1">
        <f t="array" ref="BF122">SUMPRODUCT((1/COUNTIFS($A$3:$A122,$A$3:$A122,$H$3:$H122,$H$3:$H122,$I$3:$I122,$I$3:$I122)))</f>
        <v>55.000000000000036</v>
      </c>
    </row>
    <row r="123" spans="1:58" x14ac:dyDescent="0.2">
      <c r="A123" s="91">
        <v>46284</v>
      </c>
      <c r="C123" s="37">
        <v>10.42</v>
      </c>
      <c r="D123" s="13" t="s">
        <v>205</v>
      </c>
      <c r="E123" s="13" t="s">
        <v>142</v>
      </c>
      <c r="H123" t="s">
        <v>141</v>
      </c>
      <c r="I123" s="13">
        <v>3</v>
      </c>
      <c r="J123" s="13">
        <v>6</v>
      </c>
      <c r="K123" s="98" t="s">
        <v>304</v>
      </c>
      <c r="L123" s="37">
        <v>0.5</v>
      </c>
      <c r="M123" s="37">
        <v>8.6</v>
      </c>
      <c r="N123" s="37">
        <v>10.24</v>
      </c>
      <c r="O123" s="37" t="s">
        <v>17</v>
      </c>
      <c r="Q123" s="13" t="s">
        <v>4</v>
      </c>
      <c r="R123" s="37">
        <v>9.5007999999999999</v>
      </c>
      <c r="S123" s="13">
        <v>4</v>
      </c>
      <c r="T123" s="38" t="str">
        <f t="shared" si="128"/>
        <v>0.00</v>
      </c>
      <c r="U123" s="38">
        <f t="shared" si="135"/>
        <v>-0.5</v>
      </c>
      <c r="V123" s="38">
        <f t="shared" si="136"/>
        <v>-16.3996</v>
      </c>
      <c r="W123" s="38">
        <f t="shared" si="137"/>
        <v>60.5</v>
      </c>
      <c r="X123" s="39">
        <f t="shared" si="138"/>
        <v>-0.27106776859504134</v>
      </c>
      <c r="Y123" s="40">
        <f t="shared" si="139"/>
        <v>-0.163996</v>
      </c>
      <c r="Z123" s="41">
        <f t="shared" si="140"/>
        <v>-1639.96</v>
      </c>
      <c r="AA123" s="13" t="s">
        <v>57</v>
      </c>
      <c r="AT123" s="37">
        <v>9.5</v>
      </c>
      <c r="AU123" s="37">
        <v>9.5</v>
      </c>
      <c r="AV123" s="10">
        <f t="shared" si="129"/>
        <v>4.62</v>
      </c>
      <c r="AW123" s="10">
        <f t="shared" si="251"/>
        <v>9.5007999999999999</v>
      </c>
      <c r="AZ123" t="str">
        <f t="shared" si="252"/>
        <v>Yes</v>
      </c>
      <c r="BB123" s="37">
        <f t="shared" si="253"/>
        <v>-0.5</v>
      </c>
      <c r="BC123" s="37">
        <f t="shared" si="195"/>
        <v>-1</v>
      </c>
      <c r="BD123" s="37">
        <f t="shared" si="254"/>
        <v>-1</v>
      </c>
      <c r="BE123" s="37">
        <f t="shared" si="255"/>
        <v>-0.5</v>
      </c>
      <c r="BF123" s="13" cm="1">
        <f t="array" ref="BF123">SUMPRODUCT((1/COUNTIFS($A$3:$A123,$A$3:$A123,$H$3:$H123,$H$3:$H123,$I$3:$I123,$I$3:$I123)))</f>
        <v>55.000000000000036</v>
      </c>
    </row>
    <row r="124" spans="1:58" x14ac:dyDescent="0.2">
      <c r="A124" s="91">
        <v>46284</v>
      </c>
      <c r="C124" s="37">
        <v>10.42</v>
      </c>
      <c r="D124" s="13" t="s">
        <v>205</v>
      </c>
      <c r="E124" s="13" t="s">
        <v>134</v>
      </c>
      <c r="H124" t="s">
        <v>138</v>
      </c>
      <c r="I124" s="13">
        <v>5</v>
      </c>
      <c r="J124" s="13">
        <v>12</v>
      </c>
      <c r="K124" t="s">
        <v>309</v>
      </c>
      <c r="L124" s="37">
        <v>0.5</v>
      </c>
      <c r="M124" s="37">
        <v>25</v>
      </c>
      <c r="N124" s="37">
        <v>46.95</v>
      </c>
      <c r="O124" s="37" t="s">
        <v>17</v>
      </c>
      <c r="Q124" s="13" t="s">
        <v>4</v>
      </c>
      <c r="R124" s="37">
        <v>43.274000000000001</v>
      </c>
      <c r="S124" s="13" t="s">
        <v>136</v>
      </c>
      <c r="T124" s="38" t="str">
        <f t="shared" si="128"/>
        <v>0.00</v>
      </c>
      <c r="U124" s="38">
        <f t="shared" si="135"/>
        <v>-0.5</v>
      </c>
      <c r="V124" s="38">
        <f t="shared" si="136"/>
        <v>-16.8996</v>
      </c>
      <c r="W124" s="38">
        <f t="shared" si="137"/>
        <v>61</v>
      </c>
      <c r="X124" s="39">
        <f t="shared" si="138"/>
        <v>-0.27704262295081966</v>
      </c>
      <c r="Y124" s="40">
        <f t="shared" si="139"/>
        <v>-0.16899600000000001</v>
      </c>
      <c r="Z124" s="41">
        <f t="shared" si="140"/>
        <v>-1689.96</v>
      </c>
      <c r="AA124" s="13" t="s">
        <v>57</v>
      </c>
      <c r="AT124" s="37">
        <v>31.7</v>
      </c>
      <c r="AU124" s="37">
        <v>31</v>
      </c>
      <c r="AV124" s="10">
        <f t="shared" si="129"/>
        <v>22.975000000000001</v>
      </c>
      <c r="AW124" s="10">
        <f t="shared" ref="AW124" si="256">0.92*(N124-1)+1</f>
        <v>43.274000000000001</v>
      </c>
      <c r="AZ124" t="str">
        <f t="shared" ref="AZ124" si="257">IF(N124&gt;=M124,"Yes","No")</f>
        <v>Yes</v>
      </c>
      <c r="BB124" s="37">
        <f t="shared" ref="BB124" si="258">IF(AA124="W",
   L124*(N124-1),
   -L124
)</f>
        <v>-0.5</v>
      </c>
      <c r="BC124" s="37">
        <f t="shared" si="195"/>
        <v>-0.5</v>
      </c>
      <c r="BD124" s="37">
        <f t="shared" ref="BD124" si="259">IF(BC124&gt;0, BC124*0.92, BC124)</f>
        <v>-0.5</v>
      </c>
      <c r="BE124" s="37">
        <f t="shared" ref="BE124" si="260">IF(
  BC124&gt;0,
  IF(
    AA124="W",
    BB124 - (BC124 - BD124),
    BB124
  ),
  BB124
)</f>
        <v>-0.5</v>
      </c>
      <c r="BF124" s="13" cm="1">
        <f t="array" ref="BF124">SUMPRODUCT((1/COUNTIFS($A$3:$A124,$A$3:$A124,$H$3:$H124,$H$3:$H124,$I$3:$I124,$I$3:$I124)))</f>
        <v>56.000000000000036</v>
      </c>
    </row>
    <row r="125" spans="1:58" x14ac:dyDescent="0.2">
      <c r="A125" s="91">
        <v>46284</v>
      </c>
      <c r="C125" s="37">
        <v>10.42</v>
      </c>
      <c r="D125" s="13" t="s">
        <v>205</v>
      </c>
      <c r="E125" s="13" t="s">
        <v>142</v>
      </c>
      <c r="H125" t="s">
        <v>141</v>
      </c>
      <c r="I125" s="13">
        <v>6</v>
      </c>
      <c r="J125" s="13">
        <v>9</v>
      </c>
      <c r="K125" t="s">
        <v>313</v>
      </c>
      <c r="L125" s="37">
        <v>0.5</v>
      </c>
      <c r="M125" s="37">
        <v>8.4</v>
      </c>
      <c r="N125" s="37">
        <v>12.06</v>
      </c>
      <c r="O125" s="37" t="s">
        <v>17</v>
      </c>
      <c r="Q125" s="13" t="s">
        <v>4</v>
      </c>
      <c r="R125" s="37">
        <v>11.1752</v>
      </c>
      <c r="S125" s="13" t="s">
        <v>136</v>
      </c>
      <c r="T125" s="38" t="str">
        <f t="shared" si="128"/>
        <v>0.00</v>
      </c>
      <c r="U125" s="38">
        <f t="shared" si="135"/>
        <v>-0.5</v>
      </c>
      <c r="V125" s="38">
        <f t="shared" si="136"/>
        <v>-17.3996</v>
      </c>
      <c r="W125" s="38">
        <f t="shared" si="137"/>
        <v>61.5</v>
      </c>
      <c r="X125" s="39">
        <f t="shared" si="138"/>
        <v>-0.282920325203252</v>
      </c>
      <c r="Y125" s="40">
        <f t="shared" si="139"/>
        <v>-0.17399599999999998</v>
      </c>
      <c r="Z125" s="41">
        <f t="shared" si="140"/>
        <v>-1739.96</v>
      </c>
      <c r="AA125" s="13" t="s">
        <v>57</v>
      </c>
      <c r="AT125" s="37">
        <v>10.199999999999999</v>
      </c>
      <c r="AU125" s="37">
        <v>9.5</v>
      </c>
      <c r="AV125" s="10">
        <f t="shared" si="129"/>
        <v>5.53</v>
      </c>
      <c r="AW125" s="10">
        <f t="shared" ref="AW125:AW126" si="261">0.92*(N125-1)+1</f>
        <v>11.1752</v>
      </c>
      <c r="AZ125" t="str">
        <f t="shared" ref="AZ125:AZ126" si="262">IF(N125&gt;=M125,"Yes","No")</f>
        <v>Yes</v>
      </c>
      <c r="BB125" s="37">
        <f t="shared" ref="BB125:BB126" si="263">IF(AA125="W",
   L125*(N125-1),
   -L125
)</f>
        <v>-0.5</v>
      </c>
      <c r="BC125" s="37">
        <f t="shared" si="195"/>
        <v>-1</v>
      </c>
      <c r="BD125" s="37">
        <f t="shared" ref="BD125:BD126" si="264">IF(BC125&gt;0, BC125*0.92, BC125)</f>
        <v>-1</v>
      </c>
      <c r="BE125" s="37">
        <f t="shared" ref="BE125:BE126" si="265">IF(
  BC125&gt;0,
  IF(
    AA125="W",
    BB125 - (BC125 - BD125),
    BB125
  ),
  BB125
)</f>
        <v>-0.5</v>
      </c>
      <c r="BF125" s="13" cm="1">
        <f t="array" ref="BF125">SUMPRODUCT((1/COUNTIFS($A$3:$A125,$A$3:$A125,$H$3:$H125,$H$3:$H125,$I$3:$I125,$I$3:$I125)))</f>
        <v>57.000000000000036</v>
      </c>
    </row>
    <row r="126" spans="1:58" x14ac:dyDescent="0.2">
      <c r="A126" s="91">
        <v>46284</v>
      </c>
      <c r="C126" s="37">
        <v>10.42</v>
      </c>
      <c r="D126" s="13" t="s">
        <v>205</v>
      </c>
      <c r="E126" s="13" t="s">
        <v>142</v>
      </c>
      <c r="H126" t="s">
        <v>141</v>
      </c>
      <c r="I126" s="13">
        <v>6</v>
      </c>
      <c r="J126" s="13">
        <v>14</v>
      </c>
      <c r="K126" t="s">
        <v>314</v>
      </c>
      <c r="L126" s="37">
        <v>0.5</v>
      </c>
      <c r="M126" s="37">
        <v>27</v>
      </c>
      <c r="N126" s="37">
        <v>40</v>
      </c>
      <c r="O126" s="37" t="s">
        <v>17</v>
      </c>
      <c r="Q126" s="13" t="s">
        <v>4</v>
      </c>
      <c r="R126" s="37">
        <v>36.880000000000003</v>
      </c>
      <c r="S126" s="13" t="s">
        <v>136</v>
      </c>
      <c r="T126" s="38" t="str">
        <f t="shared" si="128"/>
        <v>0.00</v>
      </c>
      <c r="U126" s="38">
        <f t="shared" si="135"/>
        <v>-0.5</v>
      </c>
      <c r="V126" s="38">
        <f t="shared" si="136"/>
        <v>-17.8996</v>
      </c>
      <c r="W126" s="38">
        <f t="shared" si="137"/>
        <v>62</v>
      </c>
      <c r="X126" s="39">
        <f t="shared" si="138"/>
        <v>-0.28870322580645158</v>
      </c>
      <c r="Y126" s="40">
        <f t="shared" si="139"/>
        <v>-0.17899599999999999</v>
      </c>
      <c r="Z126" s="41">
        <f t="shared" si="140"/>
        <v>-1789.96</v>
      </c>
      <c r="AA126" s="13" t="s">
        <v>57</v>
      </c>
      <c r="AT126" s="37">
        <v>37.799999999999997</v>
      </c>
      <c r="AU126" s="37">
        <v>31</v>
      </c>
      <c r="AV126" s="10">
        <f t="shared" si="129"/>
        <v>19.5</v>
      </c>
      <c r="AW126" s="10">
        <f t="shared" si="261"/>
        <v>36.880000000000003</v>
      </c>
      <c r="AZ126" t="str">
        <f t="shared" si="262"/>
        <v>Yes</v>
      </c>
      <c r="BB126" s="37">
        <f t="shared" si="263"/>
        <v>-0.5</v>
      </c>
      <c r="BC126" s="37">
        <f t="shared" si="195"/>
        <v>-1</v>
      </c>
      <c r="BD126" s="37">
        <f t="shared" si="264"/>
        <v>-1</v>
      </c>
      <c r="BE126" s="37">
        <f t="shared" si="265"/>
        <v>-0.5</v>
      </c>
      <c r="BF126" s="13" cm="1">
        <f t="array" ref="BF126">SUMPRODUCT((1/COUNTIFS($A$3:$A126,$A$3:$A126,$H$3:$H126,$H$3:$H126,$I$3:$I126,$I$3:$I126)))</f>
        <v>57.000000000000036</v>
      </c>
    </row>
    <row r="127" spans="1:58" x14ac:dyDescent="0.2">
      <c r="A127" s="91">
        <v>46284</v>
      </c>
      <c r="C127" s="37">
        <v>10.42</v>
      </c>
      <c r="D127" s="13" t="s">
        <v>205</v>
      </c>
      <c r="E127" s="13" t="s">
        <v>134</v>
      </c>
      <c r="H127" t="s">
        <v>138</v>
      </c>
      <c r="I127" s="13">
        <v>8</v>
      </c>
      <c r="J127" s="13">
        <v>6</v>
      </c>
      <c r="K127" s="98" t="s">
        <v>315</v>
      </c>
      <c r="L127" s="37">
        <v>0.5</v>
      </c>
      <c r="M127" s="37">
        <v>21</v>
      </c>
      <c r="N127" s="37">
        <v>42</v>
      </c>
      <c r="O127" s="37" t="s">
        <v>17</v>
      </c>
      <c r="Q127" s="13" t="s">
        <v>4</v>
      </c>
      <c r="R127" s="37">
        <v>38.72</v>
      </c>
      <c r="S127" s="13">
        <v>4</v>
      </c>
      <c r="T127" s="38" t="str">
        <f t="shared" si="128"/>
        <v>0.00</v>
      </c>
      <c r="U127" s="38">
        <f t="shared" si="135"/>
        <v>-0.5</v>
      </c>
      <c r="V127" s="38">
        <f t="shared" si="136"/>
        <v>-18.3996</v>
      </c>
      <c r="W127" s="38">
        <f t="shared" si="137"/>
        <v>62.5</v>
      </c>
      <c r="X127" s="39">
        <f t="shared" si="138"/>
        <v>-0.29439359999999998</v>
      </c>
      <c r="Y127" s="40">
        <f t="shared" si="139"/>
        <v>-0.18399599999999999</v>
      </c>
      <c r="Z127" s="41">
        <f t="shared" si="140"/>
        <v>-1839.96</v>
      </c>
      <c r="AA127" s="13" t="s">
        <v>57</v>
      </c>
      <c r="AT127" s="37">
        <v>26</v>
      </c>
      <c r="AU127" s="37">
        <v>26</v>
      </c>
      <c r="AV127" s="10">
        <f t="shared" si="129"/>
        <v>20.5</v>
      </c>
      <c r="AW127" s="10">
        <f t="shared" ref="AW127" si="266">0.92*(N127-1)+1</f>
        <v>38.72</v>
      </c>
      <c r="AZ127" t="str">
        <f t="shared" ref="AZ127" si="267">IF(N127&gt;=M127,"Yes","No")</f>
        <v>Yes</v>
      </c>
      <c r="BB127" s="37">
        <f t="shared" ref="BB127" si="268">IF(AA127="W",
   L127*(N127-1),
   -L127
)</f>
        <v>-0.5</v>
      </c>
      <c r="BC127" s="37">
        <f t="shared" si="195"/>
        <v>-0.5</v>
      </c>
      <c r="BD127" s="37">
        <f t="shared" ref="BD127" si="269">IF(BC127&gt;0, BC127*0.92, BC127)</f>
        <v>-0.5</v>
      </c>
      <c r="BE127" s="37">
        <f t="shared" ref="BE127" si="270">IF(
  BC127&gt;0,
  IF(
    AA127="W",
    BB127 - (BC127 - BD127),
    BB127
  ),
  BB127
)</f>
        <v>-0.5</v>
      </c>
      <c r="BF127" s="13" cm="1">
        <f t="array" ref="BF127">SUMPRODUCT((1/COUNTIFS($A$3:$A127,$A$3:$A127,$H$3:$H127,$H$3:$H127,$I$3:$I127,$I$3:$I127)))</f>
        <v>58.000000000000036</v>
      </c>
    </row>
    <row r="128" spans="1:58" x14ac:dyDescent="0.2">
      <c r="A128" s="91">
        <v>46284</v>
      </c>
      <c r="C128" s="37">
        <v>10.42</v>
      </c>
      <c r="D128" s="13" t="s">
        <v>205</v>
      </c>
      <c r="E128" s="13" t="s">
        <v>142</v>
      </c>
      <c r="H128" t="s">
        <v>141</v>
      </c>
      <c r="I128" s="13">
        <v>7</v>
      </c>
      <c r="J128" s="13">
        <v>9</v>
      </c>
      <c r="K128" t="s">
        <v>316</v>
      </c>
      <c r="L128" s="37">
        <v>0.5</v>
      </c>
      <c r="M128" s="37">
        <v>29</v>
      </c>
      <c r="N128" s="37">
        <v>29</v>
      </c>
      <c r="O128" s="37" t="s">
        <v>17</v>
      </c>
      <c r="Q128" s="13" t="s">
        <v>4</v>
      </c>
      <c r="R128" s="37">
        <v>26.76</v>
      </c>
      <c r="S128" s="13" t="s">
        <v>136</v>
      </c>
      <c r="T128" s="38" t="str">
        <f t="shared" si="128"/>
        <v>0.00</v>
      </c>
      <c r="U128" s="38">
        <f t="shared" si="135"/>
        <v>-0.5</v>
      </c>
      <c r="V128" s="38">
        <f t="shared" si="136"/>
        <v>-18.8996</v>
      </c>
      <c r="W128" s="38">
        <f t="shared" si="137"/>
        <v>63</v>
      </c>
      <c r="X128" s="39">
        <f t="shared" si="138"/>
        <v>-0.29999365079365081</v>
      </c>
      <c r="Y128" s="40">
        <f t="shared" si="139"/>
        <v>-0.188996</v>
      </c>
      <c r="Z128" s="41">
        <f t="shared" si="140"/>
        <v>-1889.96</v>
      </c>
      <c r="AA128" s="13" t="s">
        <v>57</v>
      </c>
      <c r="AT128" s="37">
        <v>23.9</v>
      </c>
      <c r="AU128" s="37">
        <v>21</v>
      </c>
      <c r="AV128" s="10">
        <f t="shared" si="129"/>
        <v>14</v>
      </c>
      <c r="AW128" s="10">
        <f t="shared" ref="AW128:AW129" si="271">0.92*(N128-1)+1</f>
        <v>26.76</v>
      </c>
      <c r="AZ128" t="str">
        <f t="shared" ref="AZ128:AZ129" si="272">IF(N128&gt;=M128,"Yes","No")</f>
        <v>Yes</v>
      </c>
      <c r="BB128" s="37">
        <f t="shared" ref="BB128:BB129" si="273">IF(AA128="W",
   L128*(N128-1),
   -L128
)</f>
        <v>-0.5</v>
      </c>
      <c r="BC128" s="37">
        <f t="shared" si="195"/>
        <v>-1</v>
      </c>
      <c r="BD128" s="37">
        <f t="shared" ref="BD128:BD129" si="274">IF(BC128&gt;0, BC128*0.92, BC128)</f>
        <v>-1</v>
      </c>
      <c r="BE128" s="37">
        <f t="shared" ref="BE128:BE129" si="275">IF(
  BC128&gt;0,
  IF(
    AA128="W",
    BB128 - (BC128 - BD128),
    BB128
  ),
  BB128
)</f>
        <v>-0.5</v>
      </c>
      <c r="BF128" s="13" cm="1">
        <f t="array" ref="BF128">SUMPRODUCT((1/COUNTIFS($A$3:$A128,$A$3:$A128,$H$3:$H128,$H$3:$H128,$I$3:$I128,$I$3:$I128)))</f>
        <v>59.000000000000036</v>
      </c>
    </row>
    <row r="129" spans="1:58" x14ac:dyDescent="0.2">
      <c r="A129" s="91">
        <v>46284</v>
      </c>
      <c r="C129" s="37">
        <v>10.42</v>
      </c>
      <c r="D129" s="13" t="s">
        <v>205</v>
      </c>
      <c r="E129" s="13" t="s">
        <v>142</v>
      </c>
      <c r="H129" t="s">
        <v>141</v>
      </c>
      <c r="I129" s="13">
        <v>7</v>
      </c>
      <c r="J129" s="13">
        <v>14</v>
      </c>
      <c r="K129" t="s">
        <v>317</v>
      </c>
      <c r="L129" s="37">
        <v>0.5</v>
      </c>
      <c r="M129" s="37">
        <v>10.5</v>
      </c>
      <c r="N129" s="37">
        <v>25.07</v>
      </c>
      <c r="O129" s="37" t="s">
        <v>17</v>
      </c>
      <c r="Q129" s="13" t="s">
        <v>4</v>
      </c>
      <c r="R129" s="37">
        <v>23.144400000000001</v>
      </c>
      <c r="S129" s="13" t="s">
        <v>136</v>
      </c>
      <c r="T129" s="38" t="str">
        <f t="shared" si="128"/>
        <v>0.00</v>
      </c>
      <c r="U129" s="38">
        <f t="shared" si="135"/>
        <v>-0.5</v>
      </c>
      <c r="V129" s="38">
        <f t="shared" si="136"/>
        <v>-19.3996</v>
      </c>
      <c r="W129" s="38">
        <f t="shared" si="137"/>
        <v>63.5</v>
      </c>
      <c r="X129" s="39">
        <f t="shared" si="138"/>
        <v>-0.30550551181102359</v>
      </c>
      <c r="Y129" s="40">
        <f t="shared" si="139"/>
        <v>-0.193996</v>
      </c>
      <c r="Z129" s="41">
        <f t="shared" si="140"/>
        <v>-1939.96</v>
      </c>
      <c r="AA129" s="13" t="s">
        <v>57</v>
      </c>
      <c r="AT129" s="37">
        <v>17.7</v>
      </c>
      <c r="AU129" s="37">
        <v>17</v>
      </c>
      <c r="AV129" s="10">
        <f t="shared" si="129"/>
        <v>12.035</v>
      </c>
      <c r="AW129" s="10">
        <f t="shared" si="271"/>
        <v>23.144400000000001</v>
      </c>
      <c r="AZ129" t="str">
        <f t="shared" si="272"/>
        <v>Yes</v>
      </c>
      <c r="BB129" s="37">
        <f t="shared" si="273"/>
        <v>-0.5</v>
      </c>
      <c r="BC129" s="37">
        <f t="shared" si="195"/>
        <v>-1</v>
      </c>
      <c r="BD129" s="37">
        <f t="shared" si="274"/>
        <v>-1</v>
      </c>
      <c r="BE129" s="37">
        <f t="shared" si="275"/>
        <v>-0.5</v>
      </c>
      <c r="BF129" s="13" cm="1">
        <f t="array" ref="BF129">SUMPRODUCT((1/COUNTIFS($A$3:$A129,$A$3:$A129,$H$3:$H129,$H$3:$H129,$I$3:$I129,$I$3:$I129)))</f>
        <v>59.000000000000036</v>
      </c>
    </row>
    <row r="130" spans="1:58" x14ac:dyDescent="0.2">
      <c r="A130" s="91">
        <v>46284</v>
      </c>
      <c r="C130" s="37">
        <v>10.42</v>
      </c>
      <c r="D130" s="13" t="s">
        <v>205</v>
      </c>
      <c r="E130" s="13" t="s">
        <v>134</v>
      </c>
      <c r="H130" t="s">
        <v>138</v>
      </c>
      <c r="I130" s="13">
        <v>9</v>
      </c>
      <c r="J130" s="13">
        <v>5</v>
      </c>
      <c r="K130" s="101" t="s">
        <v>320</v>
      </c>
      <c r="L130" s="37">
        <v>0.5</v>
      </c>
      <c r="M130" s="37">
        <v>16</v>
      </c>
      <c r="N130" s="37">
        <v>28.13</v>
      </c>
      <c r="O130" s="37" t="s">
        <v>17</v>
      </c>
      <c r="Q130" s="13" t="s">
        <v>4</v>
      </c>
      <c r="R130" s="37">
        <v>25.959600000000002</v>
      </c>
      <c r="S130" s="13">
        <v>1</v>
      </c>
      <c r="T130" s="38">
        <f t="shared" si="128"/>
        <v>12.98</v>
      </c>
      <c r="U130" s="38">
        <f t="shared" si="135"/>
        <v>12.5198</v>
      </c>
      <c r="V130" s="38">
        <f t="shared" si="136"/>
        <v>-6.8797999999999995</v>
      </c>
      <c r="W130" s="38">
        <f t="shared" si="137"/>
        <v>64</v>
      </c>
      <c r="X130" s="39">
        <f t="shared" si="138"/>
        <v>-0.10749687499999999</v>
      </c>
      <c r="Y130" s="40">
        <f t="shared" si="139"/>
        <v>-6.8797999999999998E-2</v>
      </c>
      <c r="Z130" s="41">
        <f t="shared" si="140"/>
        <v>-687.9799999999999</v>
      </c>
      <c r="AA130" s="13" t="s">
        <v>206</v>
      </c>
      <c r="AT130" s="37">
        <v>20.2</v>
      </c>
      <c r="AU130" s="37">
        <v>19</v>
      </c>
      <c r="AV130" s="10">
        <f t="shared" si="129"/>
        <v>13.565</v>
      </c>
      <c r="AW130" s="10">
        <f t="shared" ref="AW130:AW131" si="276">0.92*(N130-1)+1</f>
        <v>25.959600000000002</v>
      </c>
      <c r="AZ130" t="str">
        <f t="shared" ref="AZ130:AZ131" si="277">IF(N130&gt;=M130,"Yes","No")</f>
        <v>Yes</v>
      </c>
      <c r="BB130" s="37">
        <f t="shared" ref="BB130:BB131" si="278">IF(AA130="W",
   L130*(N130-1),
   -L130
)</f>
        <v>13.565</v>
      </c>
      <c r="BC130" s="37">
        <f t="shared" si="195"/>
        <v>13.065</v>
      </c>
      <c r="BD130" s="37">
        <f t="shared" ref="BD130:BD131" si="279">IF(BC130&gt;0, BC130*0.92, BC130)</f>
        <v>12.0198</v>
      </c>
      <c r="BE130" s="37">
        <f t="shared" ref="BE130:BE131" si="280">IF(
  BC130&gt;0,
  IF(
    AA130="W",
    BB130 - (BC130 - BD130),
    BB130
  ),
  BB130
)</f>
        <v>12.5198</v>
      </c>
      <c r="BF130" s="13" cm="1">
        <f t="array" ref="BF130">SUMPRODUCT((1/COUNTIFS($A$3:$A130,$A$3:$A130,$H$3:$H130,$H$3:$H130,$I$3:$I130,$I$3:$I130)))</f>
        <v>60.000000000000036</v>
      </c>
    </row>
    <row r="131" spans="1:58" x14ac:dyDescent="0.2">
      <c r="A131" s="91">
        <v>46284</v>
      </c>
      <c r="C131" s="37">
        <v>10.42</v>
      </c>
      <c r="D131" s="13" t="s">
        <v>205</v>
      </c>
      <c r="E131" s="13" t="s">
        <v>134</v>
      </c>
      <c r="H131" t="s">
        <v>138</v>
      </c>
      <c r="I131" s="13">
        <v>9</v>
      </c>
      <c r="J131" s="13">
        <v>8</v>
      </c>
      <c r="K131" t="s">
        <v>322</v>
      </c>
      <c r="L131" s="37">
        <v>0.5</v>
      </c>
      <c r="M131" s="37">
        <v>29</v>
      </c>
      <c r="N131" s="37">
        <v>35.6</v>
      </c>
      <c r="O131" s="37" t="s">
        <v>17</v>
      </c>
      <c r="Q131" s="13" t="s">
        <v>4</v>
      </c>
      <c r="R131" s="37">
        <v>32.832000000000008</v>
      </c>
      <c r="S131" s="13" t="s">
        <v>136</v>
      </c>
      <c r="T131" s="38" t="str">
        <f t="shared" si="128"/>
        <v>0.00</v>
      </c>
      <c r="U131" s="38">
        <f t="shared" si="135"/>
        <v>-0.5</v>
      </c>
      <c r="V131" s="38">
        <f t="shared" si="136"/>
        <v>-7.3797999999999995</v>
      </c>
      <c r="W131" s="38">
        <f t="shared" si="137"/>
        <v>64.5</v>
      </c>
      <c r="X131" s="39">
        <f t="shared" si="138"/>
        <v>-0.11441550387596898</v>
      </c>
      <c r="Y131" s="40">
        <f t="shared" si="139"/>
        <v>-7.3797999999999989E-2</v>
      </c>
      <c r="Z131" s="41">
        <f t="shared" si="140"/>
        <v>-737.9799999999999</v>
      </c>
      <c r="AA131" s="13" t="s">
        <v>57</v>
      </c>
      <c r="AT131" s="37">
        <v>27.7</v>
      </c>
      <c r="AU131" s="37">
        <v>26</v>
      </c>
      <c r="AV131" s="10">
        <f t="shared" si="129"/>
        <v>17.3</v>
      </c>
      <c r="AW131" s="10">
        <f t="shared" si="276"/>
        <v>32.832000000000008</v>
      </c>
      <c r="AZ131" t="str">
        <f t="shared" si="277"/>
        <v>Yes</v>
      </c>
      <c r="BB131" s="37">
        <f t="shared" si="278"/>
        <v>-0.5</v>
      </c>
      <c r="BC131" s="37">
        <f t="shared" ref="BC131:BC158" si="281">SUMIFS(
  $BB:$BB,
  $A:$A,$A131,
  $H:$H,$H131,
  $I:$I,$I131
)</f>
        <v>13.065</v>
      </c>
      <c r="BD131" s="37">
        <f t="shared" si="279"/>
        <v>12.0198</v>
      </c>
      <c r="BE131" s="37">
        <f t="shared" si="280"/>
        <v>-0.5</v>
      </c>
      <c r="BF131" s="13" cm="1">
        <f t="array" ref="BF131">SUMPRODUCT((1/COUNTIFS($A$3:$A131,$A$3:$A131,$H$3:$H131,$H$3:$H131,$I$3:$I131,$I$3:$I131)))</f>
        <v>60.000000000000036</v>
      </c>
    </row>
    <row r="132" spans="1:58" x14ac:dyDescent="0.2">
      <c r="A132" s="91">
        <v>46284</v>
      </c>
      <c r="C132" s="37">
        <v>10.42</v>
      </c>
      <c r="D132" s="13" t="s">
        <v>205</v>
      </c>
      <c r="E132" s="13" t="s">
        <v>142</v>
      </c>
      <c r="H132" t="s">
        <v>141</v>
      </c>
      <c r="I132" s="13">
        <v>8</v>
      </c>
      <c r="J132" s="13">
        <v>6</v>
      </c>
      <c r="K132" t="s">
        <v>323</v>
      </c>
      <c r="L132" s="37">
        <v>0.5</v>
      </c>
      <c r="M132" s="37">
        <v>11</v>
      </c>
      <c r="N132" s="37">
        <v>14</v>
      </c>
      <c r="O132" s="37" t="s">
        <v>17</v>
      </c>
      <c r="Q132" s="13" t="s">
        <v>4</v>
      </c>
      <c r="R132" s="37">
        <v>12.96</v>
      </c>
      <c r="S132" s="13" t="s">
        <v>136</v>
      </c>
      <c r="T132" s="38" t="str">
        <f t="shared" si="128"/>
        <v>0.00</v>
      </c>
      <c r="U132" s="38">
        <f t="shared" si="135"/>
        <v>-0.5</v>
      </c>
      <c r="V132" s="38">
        <f t="shared" si="136"/>
        <v>-7.8797999999999995</v>
      </c>
      <c r="W132" s="38">
        <f t="shared" si="137"/>
        <v>65</v>
      </c>
      <c r="X132" s="39">
        <f t="shared" si="138"/>
        <v>-0.1212276923076923</v>
      </c>
      <c r="Y132" s="40">
        <f t="shared" si="139"/>
        <v>-7.8797999999999993E-2</v>
      </c>
      <c r="Z132" s="41">
        <f t="shared" si="140"/>
        <v>-787.9799999999999</v>
      </c>
      <c r="AA132" s="13" t="s">
        <v>57</v>
      </c>
      <c r="AT132" s="37">
        <v>11.5</v>
      </c>
      <c r="AU132" s="37">
        <v>10</v>
      </c>
      <c r="AV132" s="10">
        <f t="shared" si="129"/>
        <v>6.5</v>
      </c>
      <c r="AW132" s="10">
        <f t="shared" ref="AW132" si="282">0.92*(N132-1)+1</f>
        <v>12.96</v>
      </c>
      <c r="AZ132" t="str">
        <f t="shared" ref="AZ132" si="283">IF(N132&gt;=M132,"Yes","No")</f>
        <v>Yes</v>
      </c>
      <c r="BB132" s="37">
        <f t="shared" ref="BB132" si="284">IF(AA132="W",
   L132*(N132-1),
   -L132
)</f>
        <v>-0.5</v>
      </c>
      <c r="BC132" s="37">
        <f t="shared" si="281"/>
        <v>-0.5</v>
      </c>
      <c r="BD132" s="37">
        <f t="shared" ref="BD132" si="285">IF(BC132&gt;0, BC132*0.92, BC132)</f>
        <v>-0.5</v>
      </c>
      <c r="BE132" s="37">
        <f t="shared" ref="BE132" si="286">IF(
  BC132&gt;0,
  IF(
    AA132="W",
    BB132 - (BC132 - BD132),
    BB132
  ),
  BB132
)</f>
        <v>-0.5</v>
      </c>
      <c r="BF132" s="13" cm="1">
        <f t="array" ref="BF132">SUMPRODUCT((1/COUNTIFS($A$3:$A132,$A$3:$A132,$H$3:$H132,$H$3:$H132,$I$3:$I132,$I$3:$I132)))</f>
        <v>61.000000000000036</v>
      </c>
    </row>
    <row r="133" spans="1:58" x14ac:dyDescent="0.2">
      <c r="A133" s="91">
        <v>46284</v>
      </c>
      <c r="C133" s="37">
        <v>10.42</v>
      </c>
      <c r="D133" s="13" t="s">
        <v>205</v>
      </c>
      <c r="E133" s="13" t="s">
        <v>134</v>
      </c>
      <c r="H133" t="s">
        <v>138</v>
      </c>
      <c r="I133" s="13">
        <v>10</v>
      </c>
      <c r="J133" s="13">
        <v>1</v>
      </c>
      <c r="K133" t="s">
        <v>324</v>
      </c>
      <c r="L133" s="37">
        <v>0.5</v>
      </c>
      <c r="M133" s="37">
        <v>8.8000000000000007</v>
      </c>
      <c r="N133" s="37">
        <v>10.06</v>
      </c>
      <c r="O133" s="37" t="s">
        <v>17</v>
      </c>
      <c r="Q133" s="13" t="s">
        <v>4</v>
      </c>
      <c r="R133" s="37">
        <v>9.3352000000000004</v>
      </c>
      <c r="S133" s="13" t="s">
        <v>136</v>
      </c>
      <c r="T133" s="38" t="str">
        <f t="shared" ref="T133:T199" si="287">IF(($AA133="W"),ROUND(($L133*$R133),2),"0.00")</f>
        <v>0.00</v>
      </c>
      <c r="U133" s="38">
        <f t="shared" si="135"/>
        <v>-0.5</v>
      </c>
      <c r="V133" s="38">
        <f t="shared" si="136"/>
        <v>-8.3797999999999995</v>
      </c>
      <c r="W133" s="38">
        <f t="shared" si="137"/>
        <v>65.5</v>
      </c>
      <c r="X133" s="39">
        <f t="shared" si="138"/>
        <v>-0.12793587786259542</v>
      </c>
      <c r="Y133" s="40">
        <f t="shared" si="139"/>
        <v>-8.3797999999999997E-2</v>
      </c>
      <c r="Z133" s="41">
        <f t="shared" si="140"/>
        <v>-837.9799999999999</v>
      </c>
      <c r="AA133" s="13" t="s">
        <v>57</v>
      </c>
      <c r="AT133" s="37">
        <v>8.1</v>
      </c>
      <c r="AU133" s="37">
        <v>8</v>
      </c>
      <c r="AV133" s="10">
        <f t="shared" ref="AV133:AV196" si="288">((N133*(L133))-(L133))</f>
        <v>4.53</v>
      </c>
      <c r="AW133" s="10">
        <f t="shared" ref="AW133:AW135" si="289">0.92*(N133-1)+1</f>
        <v>9.3352000000000004</v>
      </c>
      <c r="AZ133" t="str">
        <f t="shared" ref="AZ133:AZ135" si="290">IF(N133&gt;=M133,"Yes","No")</f>
        <v>Yes</v>
      </c>
      <c r="BB133" s="37">
        <f t="shared" ref="BB133:BB135" si="291">IF(AA133="W",
   L133*(N133-1),
   -L133
)</f>
        <v>-0.5</v>
      </c>
      <c r="BC133" s="37">
        <f t="shared" si="281"/>
        <v>2.11</v>
      </c>
      <c r="BD133" s="37">
        <f t="shared" ref="BD133:BD135" si="292">IF(BC133&gt;0, BC133*0.92, BC133)</f>
        <v>1.9412</v>
      </c>
      <c r="BE133" s="37">
        <f t="shared" ref="BE133:BE135" si="293">IF(
  BC133&gt;0,
  IF(
    AA133="W",
    BB133 - (BC133 - BD133),
    BB133
  ),
  BB133
)</f>
        <v>-0.5</v>
      </c>
      <c r="BF133" s="13" cm="1">
        <f t="array" ref="BF133">SUMPRODUCT((1/COUNTIFS($A$3:$A133,$A$3:$A133,$H$3:$H133,$H$3:$H133,$I$3:$I133,$I$3:$I133)))</f>
        <v>62.000000000000036</v>
      </c>
    </row>
    <row r="134" spans="1:58" x14ac:dyDescent="0.2">
      <c r="A134" s="91">
        <v>46284</v>
      </c>
      <c r="C134" s="37">
        <v>10.42</v>
      </c>
      <c r="D134" s="13" t="s">
        <v>205</v>
      </c>
      <c r="E134" s="13" t="s">
        <v>134</v>
      </c>
      <c r="H134" t="s">
        <v>138</v>
      </c>
      <c r="I134" s="13">
        <v>10</v>
      </c>
      <c r="J134" s="13">
        <v>2</v>
      </c>
      <c r="K134" s="101" t="s">
        <v>325</v>
      </c>
      <c r="L134" s="37">
        <v>0.5</v>
      </c>
      <c r="M134" s="37">
        <v>6.2</v>
      </c>
      <c r="N134" s="37">
        <v>7.22</v>
      </c>
      <c r="O134" s="37" t="s">
        <v>17</v>
      </c>
      <c r="Q134" s="13" t="s">
        <v>4</v>
      </c>
      <c r="R134" s="37">
        <v>6.7224000000000004</v>
      </c>
      <c r="S134" s="13">
        <v>1</v>
      </c>
      <c r="T134" s="38">
        <f t="shared" si="287"/>
        <v>3.36</v>
      </c>
      <c r="U134" s="38">
        <f t="shared" ref="U134:U144" si="294">BE134</f>
        <v>2.9412000000000003</v>
      </c>
      <c r="V134" s="38">
        <f t="shared" ref="V134:V144" si="295">V133+U134</f>
        <v>-5.4385999999999992</v>
      </c>
      <c r="W134" s="38">
        <f t="shared" ref="W134:W144" si="296">W133+L134</f>
        <v>66</v>
      </c>
      <c r="X134" s="39">
        <f t="shared" ref="X134:X144" si="297">SUM(V134/W134)</f>
        <v>-8.2403030303030297E-2</v>
      </c>
      <c r="Y134" s="40">
        <f t="shared" ref="Y134:Y144" si="298">V134/100</f>
        <v>-5.438599999999999E-2</v>
      </c>
      <c r="Z134" s="41">
        <f t="shared" ref="Z134:Z144" si="299">V134*100</f>
        <v>-543.8599999999999</v>
      </c>
      <c r="AA134" s="13" t="s">
        <v>206</v>
      </c>
      <c r="AT134" s="37">
        <v>5</v>
      </c>
      <c r="AU134" s="37">
        <v>5</v>
      </c>
      <c r="AV134" s="10">
        <f t="shared" si="288"/>
        <v>3.11</v>
      </c>
      <c r="AW134" s="10">
        <f t="shared" si="289"/>
        <v>6.7224000000000004</v>
      </c>
      <c r="AZ134" t="str">
        <f t="shared" si="290"/>
        <v>Yes</v>
      </c>
      <c r="BB134" s="37">
        <f t="shared" si="291"/>
        <v>3.11</v>
      </c>
      <c r="BC134" s="37">
        <f t="shared" si="281"/>
        <v>2.11</v>
      </c>
      <c r="BD134" s="37">
        <f t="shared" si="292"/>
        <v>1.9412</v>
      </c>
      <c r="BE134" s="37">
        <f t="shared" si="293"/>
        <v>2.9412000000000003</v>
      </c>
      <c r="BF134" s="13" cm="1">
        <f t="array" ref="BF134">SUMPRODUCT((1/COUNTIFS($A$3:$A134,$A$3:$A134,$H$3:$H134,$H$3:$H134,$I$3:$I134,$I$3:$I134)))</f>
        <v>62.000000000000036</v>
      </c>
    </row>
    <row r="135" spans="1:58" x14ac:dyDescent="0.2">
      <c r="A135" s="91">
        <v>46284</v>
      </c>
      <c r="C135" s="37">
        <v>10.42</v>
      </c>
      <c r="D135" s="13" t="s">
        <v>205</v>
      </c>
      <c r="E135" s="13" t="s">
        <v>134</v>
      </c>
      <c r="H135" t="s">
        <v>138</v>
      </c>
      <c r="I135" s="13">
        <v>10</v>
      </c>
      <c r="J135" s="13">
        <v>7</v>
      </c>
      <c r="K135" t="s">
        <v>327</v>
      </c>
      <c r="L135" s="37">
        <v>0.5</v>
      </c>
      <c r="M135" s="37">
        <v>30</v>
      </c>
      <c r="N135" s="37">
        <v>30</v>
      </c>
      <c r="O135" s="37" t="s">
        <v>17</v>
      </c>
      <c r="Q135" s="13" t="s">
        <v>4</v>
      </c>
      <c r="R135" s="37">
        <v>27.68</v>
      </c>
      <c r="S135" s="13" t="s">
        <v>136</v>
      </c>
      <c r="T135" s="38" t="str">
        <f t="shared" si="287"/>
        <v>0.00</v>
      </c>
      <c r="U135" s="38">
        <f t="shared" si="294"/>
        <v>-0.5</v>
      </c>
      <c r="V135" s="38">
        <f t="shared" si="295"/>
        <v>-5.9385999999999992</v>
      </c>
      <c r="W135" s="38">
        <f t="shared" si="296"/>
        <v>66.5</v>
      </c>
      <c r="X135" s="39">
        <f t="shared" si="297"/>
        <v>-8.930225563909773E-2</v>
      </c>
      <c r="Y135" s="40">
        <f t="shared" si="298"/>
        <v>-5.9385999999999994E-2</v>
      </c>
      <c r="Z135" s="41">
        <f t="shared" si="299"/>
        <v>-593.8599999999999</v>
      </c>
      <c r="AA135" s="13" t="s">
        <v>57</v>
      </c>
      <c r="AT135" s="37">
        <v>22.5</v>
      </c>
      <c r="AU135" s="37">
        <v>21</v>
      </c>
      <c r="AV135" s="10">
        <f t="shared" si="288"/>
        <v>14.5</v>
      </c>
      <c r="AW135" s="10">
        <f t="shared" si="289"/>
        <v>27.68</v>
      </c>
      <c r="AZ135" t="str">
        <f t="shared" si="290"/>
        <v>Yes</v>
      </c>
      <c r="BB135" s="37">
        <f t="shared" si="291"/>
        <v>-0.5</v>
      </c>
      <c r="BC135" s="37">
        <f t="shared" si="281"/>
        <v>2.11</v>
      </c>
      <c r="BD135" s="37">
        <f t="shared" si="292"/>
        <v>1.9412</v>
      </c>
      <c r="BE135" s="37">
        <f t="shared" si="293"/>
        <v>-0.5</v>
      </c>
      <c r="BF135" s="13" cm="1">
        <f t="array" ref="BF135">SUMPRODUCT((1/COUNTIFS($A$3:$A135,$A$3:$A135,$H$3:$H135,$H$3:$H135,$I$3:$I135,$I$3:$I135)))</f>
        <v>62.000000000000043</v>
      </c>
    </row>
    <row r="136" spans="1:58" x14ac:dyDescent="0.2">
      <c r="A136" s="91">
        <v>46288</v>
      </c>
      <c r="C136" s="37">
        <v>12.45</v>
      </c>
      <c r="D136" s="13" t="s">
        <v>133</v>
      </c>
      <c r="E136" s="13" t="s">
        <v>142</v>
      </c>
      <c r="H136" t="s">
        <v>141</v>
      </c>
      <c r="I136" s="13">
        <v>2</v>
      </c>
      <c r="J136" s="13">
        <v>6</v>
      </c>
      <c r="K136" t="s">
        <v>329</v>
      </c>
      <c r="L136" s="37">
        <v>0.5</v>
      </c>
      <c r="M136" s="37">
        <v>13</v>
      </c>
      <c r="N136" s="37">
        <v>13</v>
      </c>
      <c r="O136" s="37" t="s">
        <v>17</v>
      </c>
      <c r="Q136" s="13" t="s">
        <v>4</v>
      </c>
      <c r="R136" s="37">
        <v>12.040000000000001</v>
      </c>
      <c r="S136" s="13" t="s">
        <v>136</v>
      </c>
      <c r="T136" s="38" t="str">
        <f t="shared" si="287"/>
        <v>0.00</v>
      </c>
      <c r="U136" s="38">
        <f t="shared" si="294"/>
        <v>-0.5</v>
      </c>
      <c r="V136" s="38">
        <f t="shared" si="295"/>
        <v>-6.4385999999999992</v>
      </c>
      <c r="W136" s="38">
        <f t="shared" si="296"/>
        <v>67</v>
      </c>
      <c r="X136" s="39">
        <f t="shared" si="297"/>
        <v>-9.6098507462686555E-2</v>
      </c>
      <c r="Y136" s="40">
        <f t="shared" si="298"/>
        <v>-6.4385999999999999E-2</v>
      </c>
      <c r="Z136" s="41">
        <f t="shared" si="299"/>
        <v>-643.8599999999999</v>
      </c>
      <c r="AA136" s="13" t="s">
        <v>57</v>
      </c>
      <c r="AT136" s="37">
        <v>14.2</v>
      </c>
      <c r="AU136" s="37">
        <v>12</v>
      </c>
      <c r="AV136" s="10">
        <f t="shared" si="288"/>
        <v>6</v>
      </c>
      <c r="AW136" s="10">
        <f t="shared" ref="AW136:AW137" si="300">0.92*(N136-1)+1</f>
        <v>12.040000000000001</v>
      </c>
      <c r="AZ136" t="str">
        <f t="shared" ref="AZ136:AZ137" si="301">IF(N136&gt;=M136,"Yes","No")</f>
        <v>Yes</v>
      </c>
      <c r="BB136" s="37">
        <f t="shared" ref="BB136:BB137" si="302">IF(AA136="W",
   L136*(N136-1),
   -L136
)</f>
        <v>-0.5</v>
      </c>
      <c r="BC136" s="37">
        <f t="shared" si="281"/>
        <v>-1</v>
      </c>
      <c r="BD136" s="37">
        <f t="shared" ref="BD136:BD137" si="303">IF(BC136&gt;0, BC136*0.92, BC136)</f>
        <v>-1</v>
      </c>
      <c r="BE136" s="37">
        <f t="shared" ref="BE136:BE137" si="304">IF(
  BC136&gt;0,
  IF(
    AA136="W",
    BB136 - (BC136 - BD136),
    BB136
  ),
  BB136
)</f>
        <v>-0.5</v>
      </c>
      <c r="BF136" s="13" cm="1">
        <f t="array" ref="BF136">SUMPRODUCT((1/COUNTIFS($A$3:$A136,$A$3:$A136,$H$3:$H136,$H$3:$H136,$I$3:$I136,$I$3:$I136)))</f>
        <v>63.000000000000043</v>
      </c>
    </row>
    <row r="137" spans="1:58" x14ac:dyDescent="0.2">
      <c r="A137" s="91">
        <v>46288</v>
      </c>
      <c r="C137" s="37">
        <v>12.45</v>
      </c>
      <c r="D137" s="13" t="s">
        <v>133</v>
      </c>
      <c r="E137" s="13" t="s">
        <v>142</v>
      </c>
      <c r="H137" t="s">
        <v>141</v>
      </c>
      <c r="I137" s="13">
        <v>2</v>
      </c>
      <c r="J137" s="13">
        <v>9</v>
      </c>
      <c r="K137" s="98" t="s">
        <v>330</v>
      </c>
      <c r="L137" s="37">
        <v>0.5</v>
      </c>
      <c r="M137" s="37">
        <v>27</v>
      </c>
      <c r="N137" s="37">
        <v>56.44</v>
      </c>
      <c r="O137" s="37" t="s">
        <v>17</v>
      </c>
      <c r="Q137" s="13" t="s">
        <v>4</v>
      </c>
      <c r="R137" s="37">
        <v>52.004800000000003</v>
      </c>
      <c r="S137" s="13" t="s">
        <v>136</v>
      </c>
      <c r="T137" s="38" t="str">
        <f t="shared" si="287"/>
        <v>0.00</v>
      </c>
      <c r="U137" s="38">
        <f t="shared" si="294"/>
        <v>-0.5</v>
      </c>
      <c r="V137" s="38">
        <f t="shared" si="295"/>
        <v>-6.9385999999999992</v>
      </c>
      <c r="W137" s="38">
        <f t="shared" si="296"/>
        <v>67.5</v>
      </c>
      <c r="X137" s="39">
        <f t="shared" si="297"/>
        <v>-0.10279407407407407</v>
      </c>
      <c r="Y137" s="40">
        <f t="shared" si="298"/>
        <v>-6.9385999999999989E-2</v>
      </c>
      <c r="Z137" s="41">
        <f t="shared" si="299"/>
        <v>-693.8599999999999</v>
      </c>
      <c r="AA137" s="13" t="s">
        <v>57</v>
      </c>
      <c r="AT137" s="37">
        <v>37.799999999999997</v>
      </c>
      <c r="AU137" s="37">
        <v>31</v>
      </c>
      <c r="AV137" s="10">
        <f t="shared" si="288"/>
        <v>27.72</v>
      </c>
      <c r="AW137" s="10">
        <f t="shared" si="300"/>
        <v>52.004800000000003</v>
      </c>
      <c r="AZ137" t="str">
        <f t="shared" si="301"/>
        <v>Yes</v>
      </c>
      <c r="BB137" s="37">
        <f t="shared" si="302"/>
        <v>-0.5</v>
      </c>
      <c r="BC137" s="37">
        <f t="shared" si="281"/>
        <v>-1</v>
      </c>
      <c r="BD137" s="37">
        <f t="shared" si="303"/>
        <v>-1</v>
      </c>
      <c r="BE137" s="37">
        <f t="shared" si="304"/>
        <v>-0.5</v>
      </c>
      <c r="BF137" s="13" cm="1">
        <f t="array" ref="BF137">SUMPRODUCT((1/COUNTIFS($A$3:$A137,$A$3:$A137,$H$3:$H137,$H$3:$H137,$I$3:$I137,$I$3:$I137)))</f>
        <v>63.000000000000043</v>
      </c>
    </row>
    <row r="138" spans="1:58" x14ac:dyDescent="0.2">
      <c r="A138" s="91">
        <v>46288</v>
      </c>
      <c r="C138" s="37">
        <v>12.45</v>
      </c>
      <c r="D138" s="13" t="s">
        <v>133</v>
      </c>
      <c r="E138" s="13" t="s">
        <v>142</v>
      </c>
      <c r="H138" t="s">
        <v>141</v>
      </c>
      <c r="I138" s="13">
        <v>3</v>
      </c>
      <c r="J138" s="13">
        <v>1</v>
      </c>
      <c r="K138" t="s">
        <v>331</v>
      </c>
      <c r="L138" s="37">
        <v>0.5</v>
      </c>
      <c r="M138" s="37">
        <v>8.6</v>
      </c>
      <c r="N138" s="37">
        <v>8.6</v>
      </c>
      <c r="O138" s="37" t="s">
        <v>17</v>
      </c>
      <c r="Q138" s="13" t="s">
        <v>4</v>
      </c>
      <c r="R138" s="37">
        <v>7.992</v>
      </c>
      <c r="S138" s="13" t="s">
        <v>136</v>
      </c>
      <c r="T138" s="38" t="str">
        <f t="shared" si="287"/>
        <v>0.00</v>
      </c>
      <c r="U138" s="38">
        <f t="shared" si="294"/>
        <v>-0.5</v>
      </c>
      <c r="V138" s="38">
        <f t="shared" si="295"/>
        <v>-7.4385999999999992</v>
      </c>
      <c r="W138" s="38">
        <f t="shared" si="296"/>
        <v>68</v>
      </c>
      <c r="X138" s="39">
        <f t="shared" si="297"/>
        <v>-0.10939117647058823</v>
      </c>
      <c r="Y138" s="40">
        <f t="shared" si="298"/>
        <v>-7.4385999999999994E-2</v>
      </c>
      <c r="Z138" s="41">
        <f t="shared" si="299"/>
        <v>-743.8599999999999</v>
      </c>
      <c r="AA138" s="13" t="s">
        <v>57</v>
      </c>
      <c r="AT138" s="37">
        <v>7.6</v>
      </c>
      <c r="AU138" s="37">
        <v>7</v>
      </c>
      <c r="AV138" s="10">
        <f t="shared" si="288"/>
        <v>3.8</v>
      </c>
      <c r="AW138" s="10">
        <f t="shared" ref="AW138:AW139" si="305">0.92*(N138-1)+1</f>
        <v>7.992</v>
      </c>
      <c r="AZ138" t="str">
        <f t="shared" ref="AZ138:AZ139" si="306">IF(N138&gt;=M138,"Yes","No")</f>
        <v>Yes</v>
      </c>
      <c r="BB138" s="37">
        <f t="shared" ref="BB138:BB139" si="307">IF(AA138="W",
   L138*(N138-1),
   -L138
)</f>
        <v>-0.5</v>
      </c>
      <c r="BC138" s="37">
        <f t="shared" si="281"/>
        <v>-1</v>
      </c>
      <c r="BD138" s="37">
        <f t="shared" ref="BD138:BD139" si="308">IF(BC138&gt;0, BC138*0.92, BC138)</f>
        <v>-1</v>
      </c>
      <c r="BE138" s="37">
        <f t="shared" ref="BE138:BE139" si="309">IF(
  BC138&gt;0,
  IF(
    AA138="W",
    BB138 - (BC138 - BD138),
    BB138
  ),
  BB138
)</f>
        <v>-0.5</v>
      </c>
      <c r="BF138" s="13" cm="1">
        <f t="array" ref="BF138">SUMPRODUCT((1/COUNTIFS($A$3:$A138,$A$3:$A138,$H$3:$H138,$H$3:$H138,$I$3:$I138,$I$3:$I138)))</f>
        <v>64.000000000000043</v>
      </c>
    </row>
    <row r="139" spans="1:58" x14ac:dyDescent="0.2">
      <c r="A139" s="91">
        <v>46288</v>
      </c>
      <c r="C139" s="37">
        <v>12.45</v>
      </c>
      <c r="D139" s="13" t="s">
        <v>133</v>
      </c>
      <c r="E139" s="13" t="s">
        <v>142</v>
      </c>
      <c r="H139" t="s">
        <v>141</v>
      </c>
      <c r="I139" s="13">
        <v>3</v>
      </c>
      <c r="J139" s="13">
        <v>4</v>
      </c>
      <c r="K139" t="s">
        <v>332</v>
      </c>
      <c r="L139" s="37">
        <v>0.5</v>
      </c>
      <c r="M139" s="37">
        <v>24</v>
      </c>
      <c r="N139" s="37">
        <v>36</v>
      </c>
      <c r="O139" s="37" t="s">
        <v>17</v>
      </c>
      <c r="Q139" s="13" t="s">
        <v>4</v>
      </c>
      <c r="R139" s="37">
        <v>33.200000000000003</v>
      </c>
      <c r="S139" s="13" t="s">
        <v>136</v>
      </c>
      <c r="T139" s="38" t="str">
        <f t="shared" si="287"/>
        <v>0.00</v>
      </c>
      <c r="U139" s="38">
        <f t="shared" si="294"/>
        <v>-0.5</v>
      </c>
      <c r="V139" s="38">
        <f t="shared" si="295"/>
        <v>-7.9385999999999992</v>
      </c>
      <c r="W139" s="38">
        <f t="shared" si="296"/>
        <v>68.5</v>
      </c>
      <c r="X139" s="39">
        <f t="shared" si="297"/>
        <v>-0.1158919708029197</v>
      </c>
      <c r="Y139" s="40">
        <f t="shared" si="298"/>
        <v>-7.9385999999999998E-2</v>
      </c>
      <c r="Z139" s="41">
        <f t="shared" si="299"/>
        <v>-793.8599999999999</v>
      </c>
      <c r="AA139" s="13" t="s">
        <v>57</v>
      </c>
      <c r="AT139" s="37">
        <v>29.7</v>
      </c>
      <c r="AU139" s="37">
        <v>21</v>
      </c>
      <c r="AV139" s="10">
        <f t="shared" si="288"/>
        <v>17.5</v>
      </c>
      <c r="AW139" s="10">
        <f t="shared" si="305"/>
        <v>33.200000000000003</v>
      </c>
      <c r="AZ139" t="str">
        <f t="shared" si="306"/>
        <v>Yes</v>
      </c>
      <c r="BB139" s="37">
        <f t="shared" si="307"/>
        <v>-0.5</v>
      </c>
      <c r="BC139" s="37">
        <f t="shared" si="281"/>
        <v>-1</v>
      </c>
      <c r="BD139" s="37">
        <f t="shared" si="308"/>
        <v>-1</v>
      </c>
      <c r="BE139" s="37">
        <f t="shared" si="309"/>
        <v>-0.5</v>
      </c>
      <c r="BF139" s="13" cm="1">
        <f t="array" ref="BF139">SUMPRODUCT((1/COUNTIFS($A$3:$A139,$A$3:$A139,$H$3:$H139,$H$3:$H139,$I$3:$I139,$I$3:$I139)))</f>
        <v>64.000000000000043</v>
      </c>
    </row>
    <row r="140" spans="1:58" x14ac:dyDescent="0.2">
      <c r="A140" s="91">
        <v>46288</v>
      </c>
      <c r="C140" s="37">
        <v>12.45</v>
      </c>
      <c r="D140" s="13" t="s">
        <v>133</v>
      </c>
      <c r="E140" s="13" t="s">
        <v>142</v>
      </c>
      <c r="H140" t="s">
        <v>141</v>
      </c>
      <c r="I140" s="13">
        <v>5</v>
      </c>
      <c r="J140" s="13">
        <v>1</v>
      </c>
      <c r="K140" t="s">
        <v>333</v>
      </c>
      <c r="L140" s="37">
        <v>0.5</v>
      </c>
      <c r="M140" s="37">
        <v>14</v>
      </c>
      <c r="N140" s="37">
        <v>18.5</v>
      </c>
      <c r="O140" s="37" t="s">
        <v>17</v>
      </c>
      <c r="Q140" s="13" t="s">
        <v>4</v>
      </c>
      <c r="R140" s="37">
        <v>17.100000000000001</v>
      </c>
      <c r="S140" s="13" t="s">
        <v>136</v>
      </c>
      <c r="T140" s="38" t="str">
        <f t="shared" si="287"/>
        <v>0.00</v>
      </c>
      <c r="U140" s="38">
        <f t="shared" si="294"/>
        <v>-0.5</v>
      </c>
      <c r="V140" s="38">
        <f t="shared" si="295"/>
        <v>-8.4385999999999992</v>
      </c>
      <c r="W140" s="38">
        <f t="shared" si="296"/>
        <v>69</v>
      </c>
      <c r="X140" s="39">
        <f t="shared" si="297"/>
        <v>-0.12229855072463768</v>
      </c>
      <c r="Y140" s="40">
        <f t="shared" si="298"/>
        <v>-8.4385999999999989E-2</v>
      </c>
      <c r="Z140" s="41">
        <f t="shared" si="299"/>
        <v>-843.8599999999999</v>
      </c>
      <c r="AA140" s="13" t="s">
        <v>57</v>
      </c>
      <c r="AT140" s="37">
        <v>20.100000000000001</v>
      </c>
      <c r="AU140" s="37">
        <v>13</v>
      </c>
      <c r="AV140" s="10">
        <f t="shared" si="288"/>
        <v>8.75</v>
      </c>
      <c r="AW140" s="10">
        <f t="shared" ref="AW140:AW144" si="310">0.92*(N140-1)+1</f>
        <v>17.100000000000001</v>
      </c>
      <c r="AZ140" t="str">
        <f t="shared" ref="AZ140:AZ144" si="311">IF(N140&gt;=M140,"Yes","No")</f>
        <v>Yes</v>
      </c>
      <c r="BB140" s="37">
        <f t="shared" ref="BB140:BB144" si="312">IF(AA140="W",
   L140*(N140-1),
   -L140
)</f>
        <v>-0.5</v>
      </c>
      <c r="BC140" s="37">
        <f t="shared" si="281"/>
        <v>3.5</v>
      </c>
      <c r="BD140" s="37">
        <f t="shared" ref="BD140:BD144" si="313">IF(BC140&gt;0, BC140*0.92, BC140)</f>
        <v>3.22</v>
      </c>
      <c r="BE140" s="37">
        <f t="shared" ref="BE140:BE144" si="314">IF(
  BC140&gt;0,
  IF(
    AA140="W",
    BB140 - (BC140 - BD140),
    BB140
  ),
  BB140
)</f>
        <v>-0.5</v>
      </c>
      <c r="BF140" s="13" cm="1">
        <f t="array" ref="BF140">SUMPRODUCT((1/COUNTIFS($A$3:$A140,$A$3:$A140,$H$3:$H140,$H$3:$H140,$I$3:$I140,$I$3:$I140)))</f>
        <v>65.000000000000043</v>
      </c>
    </row>
    <row r="141" spans="1:58" x14ac:dyDescent="0.2">
      <c r="A141" s="91">
        <v>46288</v>
      </c>
      <c r="C141" s="37">
        <v>12.45</v>
      </c>
      <c r="D141" s="13" t="s">
        <v>133</v>
      </c>
      <c r="E141" s="13" t="s">
        <v>142</v>
      </c>
      <c r="H141" t="s">
        <v>141</v>
      </c>
      <c r="I141" s="13">
        <v>5</v>
      </c>
      <c r="J141" s="13">
        <v>3</v>
      </c>
      <c r="K141" t="s">
        <v>223</v>
      </c>
      <c r="L141" s="37">
        <v>0.5</v>
      </c>
      <c r="M141" s="37">
        <v>10</v>
      </c>
      <c r="N141" s="37">
        <v>10.5</v>
      </c>
      <c r="O141" s="37" t="s">
        <v>17</v>
      </c>
      <c r="Q141" s="13" t="s">
        <v>4</v>
      </c>
      <c r="R141" s="37">
        <v>9.74</v>
      </c>
      <c r="S141" s="13" t="s">
        <v>136</v>
      </c>
      <c r="T141" s="38" t="str">
        <f t="shared" si="287"/>
        <v>0.00</v>
      </c>
      <c r="U141" s="38">
        <f t="shared" si="294"/>
        <v>-0.5</v>
      </c>
      <c r="V141" s="38">
        <f t="shared" si="295"/>
        <v>-8.9385999999999992</v>
      </c>
      <c r="W141" s="38">
        <f t="shared" si="296"/>
        <v>69.5</v>
      </c>
      <c r="X141" s="39">
        <f t="shared" si="297"/>
        <v>-0.12861294964028777</v>
      </c>
      <c r="Y141" s="40">
        <f t="shared" si="298"/>
        <v>-8.9385999999999993E-2</v>
      </c>
      <c r="Z141" s="41">
        <f t="shared" si="299"/>
        <v>-893.8599999999999</v>
      </c>
      <c r="AA141" s="13" t="s">
        <v>57</v>
      </c>
      <c r="AT141" s="37">
        <v>10.6</v>
      </c>
      <c r="AU141" s="37">
        <v>10</v>
      </c>
      <c r="AV141" s="10">
        <f t="shared" si="288"/>
        <v>4.75</v>
      </c>
      <c r="AW141" s="10">
        <f t="shared" si="310"/>
        <v>9.74</v>
      </c>
      <c r="AZ141" t="str">
        <f t="shared" si="311"/>
        <v>Yes</v>
      </c>
      <c r="BB141" s="37">
        <f t="shared" si="312"/>
        <v>-0.5</v>
      </c>
      <c r="BC141" s="37">
        <f t="shared" si="281"/>
        <v>3.5</v>
      </c>
      <c r="BD141" s="37">
        <f t="shared" si="313"/>
        <v>3.22</v>
      </c>
      <c r="BE141" s="37">
        <f t="shared" si="314"/>
        <v>-0.5</v>
      </c>
      <c r="BF141" s="13" cm="1">
        <f t="array" ref="BF141">SUMPRODUCT((1/COUNTIFS($A$3:$A141,$A$3:$A141,$H$3:$H141,$H$3:$H141,$I$3:$I141,$I$3:$I141)))</f>
        <v>65.000000000000043</v>
      </c>
    </row>
    <row r="142" spans="1:58" x14ac:dyDescent="0.2">
      <c r="A142" s="91">
        <v>46288</v>
      </c>
      <c r="C142" s="37">
        <v>12.45</v>
      </c>
      <c r="D142" s="13" t="s">
        <v>133</v>
      </c>
      <c r="E142" s="13" t="s">
        <v>142</v>
      </c>
      <c r="H142" t="s">
        <v>141</v>
      </c>
      <c r="I142" s="13">
        <v>5</v>
      </c>
      <c r="J142" s="13">
        <v>4</v>
      </c>
      <c r="K142" s="101" t="s">
        <v>334</v>
      </c>
      <c r="L142" s="37">
        <v>0.5</v>
      </c>
      <c r="M142" s="37">
        <v>8.4</v>
      </c>
      <c r="N142" s="37">
        <v>10</v>
      </c>
      <c r="O142" s="37" t="s">
        <v>17</v>
      </c>
      <c r="Q142" s="13" t="s">
        <v>4</v>
      </c>
      <c r="R142" s="37">
        <v>9.2800000000000011</v>
      </c>
      <c r="S142" s="13">
        <v>1</v>
      </c>
      <c r="T142" s="38">
        <f t="shared" si="287"/>
        <v>4.6399999999999997</v>
      </c>
      <c r="U142" s="38">
        <f t="shared" si="294"/>
        <v>4.2200000000000006</v>
      </c>
      <c r="V142" s="38">
        <f t="shared" si="295"/>
        <v>-4.7185999999999986</v>
      </c>
      <c r="W142" s="38">
        <f t="shared" si="296"/>
        <v>70</v>
      </c>
      <c r="X142" s="39">
        <f t="shared" si="297"/>
        <v>-6.7408571428571415E-2</v>
      </c>
      <c r="Y142" s="40">
        <f t="shared" si="298"/>
        <v>-4.7185999999999985E-2</v>
      </c>
      <c r="Z142" s="41">
        <f t="shared" si="299"/>
        <v>-471.85999999999984</v>
      </c>
      <c r="AA142" s="13" t="s">
        <v>206</v>
      </c>
      <c r="AT142" s="37">
        <v>9.1</v>
      </c>
      <c r="AU142" s="37">
        <v>9</v>
      </c>
      <c r="AV142" s="10">
        <f t="shared" si="288"/>
        <v>4.5</v>
      </c>
      <c r="AW142" s="10">
        <f t="shared" si="310"/>
        <v>9.2800000000000011</v>
      </c>
      <c r="AZ142" t="str">
        <f t="shared" si="311"/>
        <v>Yes</v>
      </c>
      <c r="BB142" s="37">
        <f t="shared" si="312"/>
        <v>4.5</v>
      </c>
      <c r="BC142" s="37">
        <f t="shared" si="281"/>
        <v>3.5</v>
      </c>
      <c r="BD142" s="37">
        <f t="shared" si="313"/>
        <v>3.22</v>
      </c>
      <c r="BE142" s="37">
        <f t="shared" si="314"/>
        <v>4.2200000000000006</v>
      </c>
      <c r="BF142" s="13" cm="1">
        <f t="array" ref="BF142">SUMPRODUCT((1/COUNTIFS($A$3:$A142,$A$3:$A142,$H$3:$H142,$H$3:$H142,$I$3:$I142,$I$3:$I142)))</f>
        <v>65.000000000000028</v>
      </c>
    </row>
    <row r="143" spans="1:58" x14ac:dyDescent="0.2">
      <c r="A143" s="91">
        <v>46288</v>
      </c>
      <c r="C143" s="37">
        <v>12.45</v>
      </c>
      <c r="D143" s="13" t="s">
        <v>133</v>
      </c>
      <c r="E143" s="13" t="s">
        <v>142</v>
      </c>
      <c r="H143" t="s">
        <v>141</v>
      </c>
      <c r="I143" s="13">
        <v>6</v>
      </c>
      <c r="J143" s="13">
        <v>7</v>
      </c>
      <c r="K143" s="92" t="s">
        <v>339</v>
      </c>
      <c r="L143" s="37">
        <v>0.5</v>
      </c>
      <c r="M143" s="37">
        <v>10</v>
      </c>
      <c r="N143" s="37">
        <v>10.24</v>
      </c>
      <c r="O143" s="37" t="s">
        <v>17</v>
      </c>
      <c r="Q143" s="13" t="s">
        <v>4</v>
      </c>
      <c r="R143" s="37">
        <v>9.5007999999999999</v>
      </c>
      <c r="S143" s="13">
        <v>3</v>
      </c>
      <c r="T143" s="38" t="str">
        <f t="shared" si="287"/>
        <v>0.00</v>
      </c>
      <c r="U143" s="38">
        <f t="shared" si="294"/>
        <v>-0.5</v>
      </c>
      <c r="V143" s="38">
        <f t="shared" si="295"/>
        <v>-5.2185999999999986</v>
      </c>
      <c r="W143" s="38">
        <f t="shared" si="296"/>
        <v>70.5</v>
      </c>
      <c r="X143" s="39">
        <f t="shared" si="297"/>
        <v>-7.4022695035460967E-2</v>
      </c>
      <c r="Y143" s="40">
        <f t="shared" si="298"/>
        <v>-5.2185999999999982E-2</v>
      </c>
      <c r="Z143" s="41">
        <f t="shared" si="299"/>
        <v>-521.8599999999999</v>
      </c>
      <c r="AA143" s="13" t="s">
        <v>57</v>
      </c>
      <c r="AT143" s="37">
        <v>10.4</v>
      </c>
      <c r="AU143" s="37">
        <v>10</v>
      </c>
      <c r="AV143" s="10">
        <f t="shared" si="288"/>
        <v>4.62</v>
      </c>
      <c r="AW143" s="10">
        <f t="shared" si="310"/>
        <v>9.5007999999999999</v>
      </c>
      <c r="AZ143" t="str">
        <f t="shared" si="311"/>
        <v>Yes</v>
      </c>
      <c r="BB143" s="37">
        <f t="shared" si="312"/>
        <v>-0.5</v>
      </c>
      <c r="BC143" s="37">
        <f t="shared" si="281"/>
        <v>-0.5</v>
      </c>
      <c r="BD143" s="37">
        <f t="shared" si="313"/>
        <v>-0.5</v>
      </c>
      <c r="BE143" s="37">
        <f t="shared" si="314"/>
        <v>-0.5</v>
      </c>
      <c r="BF143" s="13" cm="1">
        <f t="array" ref="BF143">SUMPRODUCT((1/COUNTIFS($A$3:$A143,$A$3:$A143,$H$3:$H143,$H$3:$H143,$I$3:$I143,$I$3:$I143)))</f>
        <v>66.000000000000028</v>
      </c>
    </row>
    <row r="144" spans="1:58" x14ac:dyDescent="0.2">
      <c r="A144" s="91">
        <v>46288</v>
      </c>
      <c r="C144" s="37">
        <v>12.45</v>
      </c>
      <c r="D144" s="13" t="s">
        <v>133</v>
      </c>
      <c r="E144" s="13" t="s">
        <v>142</v>
      </c>
      <c r="H144" t="s">
        <v>141</v>
      </c>
      <c r="I144" s="13">
        <v>7</v>
      </c>
      <c r="J144" s="13">
        <v>8</v>
      </c>
      <c r="K144" t="s">
        <v>343</v>
      </c>
      <c r="L144" s="37">
        <v>0.5</v>
      </c>
      <c r="M144" s="37">
        <v>12.5</v>
      </c>
      <c r="N144" s="37">
        <v>18.5</v>
      </c>
      <c r="O144" s="37" t="s">
        <v>17</v>
      </c>
      <c r="Q144" s="13" t="s">
        <v>4</v>
      </c>
      <c r="R144" s="37">
        <v>17.100000000000001</v>
      </c>
      <c r="S144" s="13" t="s">
        <v>136</v>
      </c>
      <c r="T144" s="38" t="str">
        <f t="shared" si="287"/>
        <v>0.00</v>
      </c>
      <c r="U144" s="38">
        <f t="shared" si="294"/>
        <v>-0.5</v>
      </c>
      <c r="V144" s="38">
        <f t="shared" si="295"/>
        <v>-5.7185999999999986</v>
      </c>
      <c r="W144" s="38">
        <f t="shared" si="296"/>
        <v>71</v>
      </c>
      <c r="X144" s="39">
        <f t="shared" si="297"/>
        <v>-8.0543661971830965E-2</v>
      </c>
      <c r="Y144" s="40">
        <f t="shared" si="298"/>
        <v>-5.7185999999999987E-2</v>
      </c>
      <c r="Z144" s="41">
        <f t="shared" si="299"/>
        <v>-571.8599999999999</v>
      </c>
      <c r="AA144" s="13" t="s">
        <v>57</v>
      </c>
      <c r="AT144" s="37">
        <v>15.6</v>
      </c>
      <c r="AU144" s="37">
        <v>15</v>
      </c>
      <c r="AV144" s="10">
        <f t="shared" si="288"/>
        <v>8.75</v>
      </c>
      <c r="AW144" s="10">
        <f t="shared" si="310"/>
        <v>17.100000000000001</v>
      </c>
      <c r="AZ144" t="str">
        <f t="shared" si="311"/>
        <v>Yes</v>
      </c>
      <c r="BB144" s="37">
        <f t="shared" si="312"/>
        <v>-0.5</v>
      </c>
      <c r="BC144" s="37">
        <f t="shared" si="281"/>
        <v>-0.5</v>
      </c>
      <c r="BD144" s="37">
        <f t="shared" si="313"/>
        <v>-0.5</v>
      </c>
      <c r="BE144" s="37">
        <f t="shared" si="314"/>
        <v>-0.5</v>
      </c>
      <c r="BF144" s="13" cm="1">
        <f t="array" ref="BF144">SUMPRODUCT((1/COUNTIFS($A$3:$A144,$A$3:$A144,$H$3:$H144,$H$3:$H144,$I$3:$I144,$I$3:$I144)))</f>
        <v>67.000000000000028</v>
      </c>
    </row>
    <row r="145" spans="1:58" x14ac:dyDescent="0.2">
      <c r="A145" s="91">
        <v>46291</v>
      </c>
      <c r="C145" s="37">
        <v>10.59</v>
      </c>
      <c r="D145" s="13" t="s">
        <v>205</v>
      </c>
      <c r="E145" s="13" t="s">
        <v>134</v>
      </c>
      <c r="H145" t="s">
        <v>139</v>
      </c>
      <c r="I145" s="13">
        <v>2</v>
      </c>
      <c r="J145" s="13">
        <v>1</v>
      </c>
      <c r="K145" t="s">
        <v>345</v>
      </c>
      <c r="L145" s="37">
        <v>0.5</v>
      </c>
      <c r="M145" s="37">
        <v>16.5</v>
      </c>
      <c r="N145" s="37">
        <v>19.13</v>
      </c>
      <c r="O145" s="37" t="s">
        <v>17</v>
      </c>
      <c r="Q145" s="13" t="s">
        <v>4</v>
      </c>
      <c r="R145" s="37">
        <v>17.679600000000001</v>
      </c>
      <c r="S145" s="13" t="s">
        <v>136</v>
      </c>
      <c r="T145" s="38" t="str">
        <f t="shared" si="287"/>
        <v>0.00</v>
      </c>
      <c r="U145" s="38">
        <f t="shared" ref="U145" si="315">BE145</f>
        <v>-0.5</v>
      </c>
      <c r="V145" s="38">
        <f t="shared" ref="V145" si="316">V144+U145</f>
        <v>-6.2185999999999986</v>
      </c>
      <c r="W145" s="38">
        <f t="shared" ref="W145" si="317">W144+L145</f>
        <v>71.5</v>
      </c>
      <c r="X145" s="39">
        <f t="shared" ref="X145" si="318">SUM(V145/W145)</f>
        <v>-8.6973426573426549E-2</v>
      </c>
      <c r="Y145" s="40">
        <f t="shared" ref="Y145" si="319">V145/100</f>
        <v>-6.2185999999999984E-2</v>
      </c>
      <c r="Z145" s="41">
        <f t="shared" ref="Z145" si="320">V145*100</f>
        <v>-621.8599999999999</v>
      </c>
      <c r="AA145" s="13" t="s">
        <v>57</v>
      </c>
      <c r="AT145" s="37">
        <v>28.6</v>
      </c>
      <c r="AU145" s="37">
        <v>21</v>
      </c>
      <c r="AV145" s="10">
        <f t="shared" si="288"/>
        <v>9.0649999999999995</v>
      </c>
      <c r="AW145" s="10">
        <f t="shared" ref="AW145" si="321">0.92*(N145-1)+1</f>
        <v>17.679600000000001</v>
      </c>
      <c r="AZ145" t="str">
        <f t="shared" ref="AZ145" si="322">IF(N145&gt;=M145,"Yes","No")</f>
        <v>Yes</v>
      </c>
      <c r="BB145" s="37">
        <f t="shared" ref="BB145" si="323">IF(AA145="W",
   L145*(N145-1),
   -L145
)</f>
        <v>-0.5</v>
      </c>
      <c r="BC145" s="37">
        <f t="shared" si="281"/>
        <v>-0.5</v>
      </c>
      <c r="BD145" s="37">
        <f t="shared" ref="BD145" si="324">IF(BC145&gt;0, BC145*0.92, BC145)</f>
        <v>-0.5</v>
      </c>
      <c r="BE145" s="37">
        <f t="shared" ref="BE145" si="325">IF(
  BC145&gt;0,
  IF(
    AA145="W",
    BB145 - (BC145 - BD145),
    BB145
  ),
  BB145
)</f>
        <v>-0.5</v>
      </c>
      <c r="BF145" s="13" cm="1">
        <f t="array" ref="BF145">SUMPRODUCT((1/COUNTIFS($A$3:$A145,$A$3:$A145,$H$3:$H145,$H$3:$H145,$I$3:$I145,$I$3:$I145)))</f>
        <v>68.000000000000028</v>
      </c>
    </row>
    <row r="146" spans="1:58" x14ac:dyDescent="0.2">
      <c r="A146" s="91">
        <v>46291</v>
      </c>
      <c r="C146" s="37">
        <v>10.59</v>
      </c>
      <c r="D146" s="13" t="s">
        <v>205</v>
      </c>
      <c r="E146" s="13" t="s">
        <v>134</v>
      </c>
      <c r="H146" t="s">
        <v>139</v>
      </c>
      <c r="I146" s="13">
        <v>3</v>
      </c>
      <c r="J146" s="13">
        <v>3</v>
      </c>
      <c r="K146" s="98" t="s">
        <v>347</v>
      </c>
      <c r="L146" s="37">
        <v>0.5</v>
      </c>
      <c r="M146" s="37">
        <v>10.5</v>
      </c>
      <c r="N146" s="37">
        <v>11.34</v>
      </c>
      <c r="O146" s="37" t="s">
        <v>17</v>
      </c>
      <c r="Q146" s="13" t="s">
        <v>4</v>
      </c>
      <c r="R146" s="37">
        <v>10.5128</v>
      </c>
      <c r="S146" s="13">
        <v>4</v>
      </c>
      <c r="T146" s="38" t="str">
        <f t="shared" si="287"/>
        <v>0.00</v>
      </c>
      <c r="U146" s="38">
        <f t="shared" ref="U146" si="326">BE146</f>
        <v>-0.5</v>
      </c>
      <c r="V146" s="38">
        <f t="shared" ref="V146" si="327">V145+U146</f>
        <v>-6.7185999999999986</v>
      </c>
      <c r="W146" s="38">
        <f t="shared" ref="W146" si="328">W145+L146</f>
        <v>72</v>
      </c>
      <c r="X146" s="39">
        <f t="shared" ref="X146" si="329">SUM(V146/W146)</f>
        <v>-9.3313888888888863E-2</v>
      </c>
      <c r="Y146" s="40">
        <f t="shared" ref="Y146" si="330">V146/100</f>
        <v>-6.7185999999999982E-2</v>
      </c>
      <c r="Z146" s="41">
        <f t="shared" ref="Z146" si="331">V146*100</f>
        <v>-671.8599999999999</v>
      </c>
      <c r="AA146" s="13" t="s">
        <v>57</v>
      </c>
      <c r="AT146" s="37">
        <v>17.2</v>
      </c>
      <c r="AU146" s="37">
        <v>12</v>
      </c>
      <c r="AV146" s="10">
        <f t="shared" si="288"/>
        <v>5.17</v>
      </c>
      <c r="AW146" s="10">
        <f t="shared" ref="AW146" si="332">0.92*(N146-1)+1</f>
        <v>10.5128</v>
      </c>
      <c r="AZ146" t="str">
        <f t="shared" ref="AZ146" si="333">IF(N146&gt;=M146,"Yes","No")</f>
        <v>Yes</v>
      </c>
      <c r="BB146" s="37">
        <f t="shared" ref="BB146" si="334">IF(AA146="W",
   L146*(N146-1),
   -L146
)</f>
        <v>-0.5</v>
      </c>
      <c r="BC146" s="37">
        <f t="shared" si="281"/>
        <v>-0.5</v>
      </c>
      <c r="BD146" s="37">
        <f t="shared" ref="BD146" si="335">IF(BC146&gt;0, BC146*0.92, BC146)</f>
        <v>-0.5</v>
      </c>
      <c r="BE146" s="37">
        <f t="shared" ref="BE146" si="336">IF(
  BC146&gt;0,
  IF(
    AA146="W",
    BB146 - (BC146 - BD146),
    BB146
  ),
  BB146
)</f>
        <v>-0.5</v>
      </c>
      <c r="BF146" s="13" cm="1">
        <f t="array" ref="BF146">SUMPRODUCT((1/COUNTIFS($A$3:$A146,$A$3:$A146,$H$3:$H146,$H$3:$H146,$I$3:$I146,$I$3:$I146)))</f>
        <v>69.000000000000028</v>
      </c>
    </row>
    <row r="147" spans="1:58" x14ac:dyDescent="0.2">
      <c r="A147" s="91">
        <v>46291</v>
      </c>
      <c r="C147" s="37">
        <v>10.59</v>
      </c>
      <c r="D147" s="13" t="s">
        <v>205</v>
      </c>
      <c r="E147" s="13" t="s">
        <v>134</v>
      </c>
      <c r="H147" t="s">
        <v>139</v>
      </c>
      <c r="I147" s="13">
        <v>4</v>
      </c>
      <c r="J147" s="13">
        <v>2</v>
      </c>
      <c r="K147" t="s">
        <v>348</v>
      </c>
      <c r="L147" s="37">
        <v>0.5</v>
      </c>
      <c r="M147" s="37">
        <v>22</v>
      </c>
      <c r="N147" s="37">
        <v>32.65</v>
      </c>
      <c r="O147" s="37" t="s">
        <v>17</v>
      </c>
      <c r="Q147" s="13" t="s">
        <v>4</v>
      </c>
      <c r="R147" s="37">
        <v>30.117999999999999</v>
      </c>
      <c r="S147" s="13" t="s">
        <v>136</v>
      </c>
      <c r="T147" s="38" t="str">
        <f t="shared" si="287"/>
        <v>0.00</v>
      </c>
      <c r="U147" s="38">
        <f t="shared" ref="U147" si="337">BE147</f>
        <v>-0.5</v>
      </c>
      <c r="V147" s="38">
        <f t="shared" ref="V147" si="338">V146+U147</f>
        <v>-7.2185999999999986</v>
      </c>
      <c r="W147" s="38">
        <f t="shared" ref="W147" si="339">W146+L147</f>
        <v>72.5</v>
      </c>
      <c r="X147" s="39">
        <f t="shared" ref="X147" si="340">SUM(V147/W147)</f>
        <v>-9.9566896551724113E-2</v>
      </c>
      <c r="Y147" s="40">
        <f t="shared" ref="Y147" si="341">V147/100</f>
        <v>-7.2185999999999986E-2</v>
      </c>
      <c r="Z147" s="41">
        <f t="shared" ref="Z147" si="342">V147*100</f>
        <v>-721.8599999999999</v>
      </c>
      <c r="AA147" s="13" t="s">
        <v>57</v>
      </c>
      <c r="AT147" s="37">
        <v>34.25</v>
      </c>
      <c r="AU147" s="37">
        <v>26</v>
      </c>
      <c r="AV147" s="10">
        <f t="shared" si="288"/>
        <v>15.824999999999999</v>
      </c>
      <c r="AW147" s="10">
        <f t="shared" ref="AW147" si="343">0.92*(N147-1)+1</f>
        <v>30.117999999999999</v>
      </c>
      <c r="AZ147" t="str">
        <f t="shared" ref="AZ147" si="344">IF(N147&gt;=M147,"Yes","No")</f>
        <v>Yes</v>
      </c>
      <c r="BB147" s="37">
        <f t="shared" ref="BB147" si="345">IF(AA147="W",
   L147*(N147-1),
   -L147
)</f>
        <v>-0.5</v>
      </c>
      <c r="BC147" s="37">
        <f t="shared" si="281"/>
        <v>-0.5</v>
      </c>
      <c r="BD147" s="37">
        <f t="shared" ref="BD147" si="346">IF(BC147&gt;0, BC147*0.92, BC147)</f>
        <v>-0.5</v>
      </c>
      <c r="BE147" s="37">
        <f t="shared" ref="BE147" si="347">IF(
  BC147&gt;0,
  IF(
    AA147="W",
    BB147 - (BC147 - BD147),
    BB147
  ),
  BB147
)</f>
        <v>-0.5</v>
      </c>
      <c r="BF147" s="13" cm="1">
        <f t="array" ref="BF147">SUMPRODUCT((1/COUNTIFS($A$3:$A147,$A$3:$A147,$H$3:$H147,$H$3:$H147,$I$3:$I147,$I$3:$I147)))</f>
        <v>70.000000000000028</v>
      </c>
    </row>
    <row r="148" spans="1:58" x14ac:dyDescent="0.2">
      <c r="A148" s="91">
        <v>46291</v>
      </c>
      <c r="C148" s="37">
        <v>10.59</v>
      </c>
      <c r="D148" s="13" t="s">
        <v>205</v>
      </c>
      <c r="E148" s="13" t="s">
        <v>134</v>
      </c>
      <c r="H148" t="s">
        <v>139</v>
      </c>
      <c r="I148" s="13">
        <v>5</v>
      </c>
      <c r="J148" s="13">
        <v>1</v>
      </c>
      <c r="K148" t="s">
        <v>350</v>
      </c>
      <c r="L148" s="37">
        <v>0.5</v>
      </c>
      <c r="M148" s="37">
        <v>13.5</v>
      </c>
      <c r="N148" s="37">
        <v>28.84</v>
      </c>
      <c r="O148" s="37" t="s">
        <v>17</v>
      </c>
      <c r="Q148" s="13" t="s">
        <v>4</v>
      </c>
      <c r="R148" s="37">
        <v>26.6128</v>
      </c>
      <c r="S148" s="13" t="s">
        <v>136</v>
      </c>
      <c r="T148" s="38" t="str">
        <f t="shared" si="287"/>
        <v>0.00</v>
      </c>
      <c r="U148" s="38">
        <f t="shared" ref="U148:U149" si="348">BE148</f>
        <v>-0.5</v>
      </c>
      <c r="V148" s="38">
        <f t="shared" ref="V148:V149" si="349">V147+U148</f>
        <v>-7.7185999999999986</v>
      </c>
      <c r="W148" s="38">
        <f t="shared" ref="W148:W149" si="350">W147+L148</f>
        <v>73</v>
      </c>
      <c r="X148" s="39">
        <f t="shared" ref="X148:X149" si="351">SUM(V148/W148)</f>
        <v>-0.10573424657534244</v>
      </c>
      <c r="Y148" s="40">
        <f t="shared" ref="Y148:Y149" si="352">V148/100</f>
        <v>-7.7185999999999991E-2</v>
      </c>
      <c r="Z148" s="41">
        <f t="shared" ref="Z148:Z149" si="353">V148*100</f>
        <v>-771.8599999999999</v>
      </c>
      <c r="AA148" s="13" t="s">
        <v>57</v>
      </c>
      <c r="AT148" s="37">
        <v>16</v>
      </c>
      <c r="AU148" s="37">
        <v>16</v>
      </c>
      <c r="AV148" s="10">
        <f t="shared" si="288"/>
        <v>13.92</v>
      </c>
      <c r="AW148" s="10">
        <f t="shared" ref="AW148:AW151" si="354">0.92*(N148-1)+1</f>
        <v>26.6128</v>
      </c>
      <c r="AZ148" t="str">
        <f t="shared" ref="AZ148:AZ151" si="355">IF(N148&gt;=M148,"Yes","No")</f>
        <v>Yes</v>
      </c>
      <c r="BB148" s="37">
        <f t="shared" ref="BB148:BB150" si="356">IF(AA148="W",
   L148*(N148-1),
   -L148
)</f>
        <v>-0.5</v>
      </c>
      <c r="BC148" s="37">
        <f t="shared" si="281"/>
        <v>-1.5</v>
      </c>
      <c r="BD148" s="37">
        <f t="shared" ref="BD148:BD150" si="357">IF(BC148&gt;0, BC148*0.92, BC148)</f>
        <v>-1.5</v>
      </c>
      <c r="BE148" s="37">
        <f t="shared" ref="BE148:BE150" si="358">IF(
  BC148&gt;0,
  IF(
    AA148="W",
    BB148 - (BC148 - BD148),
    BB148
  ),
  BB148
)</f>
        <v>-0.5</v>
      </c>
      <c r="BF148" s="13" cm="1">
        <f t="array" ref="BF148">SUMPRODUCT((1/COUNTIFS($A$3:$A148,$A$3:$A148,$H$3:$H148,$H$3:$H148,$I$3:$I148,$I$3:$I148)))</f>
        <v>71.000000000000028</v>
      </c>
    </row>
    <row r="149" spans="1:58" x14ac:dyDescent="0.2">
      <c r="A149" s="91">
        <v>46291</v>
      </c>
      <c r="C149" s="37">
        <v>10.59</v>
      </c>
      <c r="D149" s="13" t="s">
        <v>205</v>
      </c>
      <c r="E149" s="13" t="s">
        <v>134</v>
      </c>
      <c r="H149" t="s">
        <v>139</v>
      </c>
      <c r="I149" s="13">
        <v>5</v>
      </c>
      <c r="J149" s="13">
        <v>8</v>
      </c>
      <c r="K149" t="s">
        <v>236</v>
      </c>
      <c r="L149" s="37">
        <v>0.5</v>
      </c>
      <c r="M149" s="37">
        <v>21</v>
      </c>
      <c r="N149" s="37">
        <v>34.93</v>
      </c>
      <c r="O149" s="37" t="s">
        <v>17</v>
      </c>
      <c r="Q149" s="13" t="s">
        <v>4</v>
      </c>
      <c r="R149" s="37">
        <v>32.215600000000002</v>
      </c>
      <c r="S149" s="13" t="s">
        <v>136</v>
      </c>
      <c r="T149" s="38" t="str">
        <f t="shared" si="287"/>
        <v>0.00</v>
      </c>
      <c r="U149" s="38">
        <f t="shared" si="348"/>
        <v>-0.5</v>
      </c>
      <c r="V149" s="38">
        <f t="shared" si="349"/>
        <v>-8.2185999999999986</v>
      </c>
      <c r="W149" s="38">
        <f t="shared" si="350"/>
        <v>73.5</v>
      </c>
      <c r="X149" s="39">
        <f t="shared" si="351"/>
        <v>-0.11181768707482992</v>
      </c>
      <c r="Y149" s="40">
        <f t="shared" si="352"/>
        <v>-8.2185999999999981E-2</v>
      </c>
      <c r="Z149" s="41">
        <f t="shared" si="353"/>
        <v>-821.8599999999999</v>
      </c>
      <c r="AA149" s="13" t="s">
        <v>57</v>
      </c>
      <c r="AT149" s="37">
        <v>26.65</v>
      </c>
      <c r="AU149" s="37">
        <v>31</v>
      </c>
      <c r="AV149" s="10">
        <f t="shared" si="288"/>
        <v>16.965</v>
      </c>
      <c r="AW149" s="10">
        <f t="shared" si="354"/>
        <v>32.215600000000002</v>
      </c>
      <c r="AZ149" t="str">
        <f t="shared" si="355"/>
        <v>Yes</v>
      </c>
      <c r="BB149" s="37">
        <f t="shared" si="356"/>
        <v>-0.5</v>
      </c>
      <c r="BC149" s="37">
        <f t="shared" si="281"/>
        <v>-1.5</v>
      </c>
      <c r="BD149" s="37">
        <f t="shared" si="357"/>
        <v>-1.5</v>
      </c>
      <c r="BE149" s="37">
        <f t="shared" si="358"/>
        <v>-0.5</v>
      </c>
      <c r="BF149" s="13" cm="1">
        <f t="array" ref="BF149">SUMPRODUCT((1/COUNTIFS($A$3:$A149,$A$3:$A149,$H$3:$H149,$H$3:$H149,$I$3:$I149,$I$3:$I149)))</f>
        <v>71.000000000000028</v>
      </c>
    </row>
    <row r="150" spans="1:58" x14ac:dyDescent="0.2">
      <c r="A150" s="91">
        <v>46291</v>
      </c>
      <c r="C150" s="37">
        <v>10.59</v>
      </c>
      <c r="D150" s="13" t="s">
        <v>205</v>
      </c>
      <c r="E150" s="13" t="s">
        <v>134</v>
      </c>
      <c r="H150" t="s">
        <v>139</v>
      </c>
      <c r="I150" s="13">
        <v>5</v>
      </c>
      <c r="J150" s="13">
        <v>11</v>
      </c>
      <c r="K150" s="92" t="s">
        <v>351</v>
      </c>
      <c r="L150" s="37">
        <v>0.5</v>
      </c>
      <c r="M150" s="37">
        <v>8.4</v>
      </c>
      <c r="N150" s="37">
        <v>8.4</v>
      </c>
      <c r="O150" s="37" t="s">
        <v>17</v>
      </c>
      <c r="Q150" s="13" t="s">
        <v>4</v>
      </c>
      <c r="R150" s="37">
        <v>7.8080000000000007</v>
      </c>
      <c r="S150" s="13">
        <v>3</v>
      </c>
      <c r="T150" s="38" t="str">
        <f t="shared" si="287"/>
        <v>0.00</v>
      </c>
      <c r="U150" s="38">
        <f t="shared" ref="U150" si="359">BE150</f>
        <v>-0.5</v>
      </c>
      <c r="V150" s="38">
        <f t="shared" ref="V150" si="360">V149+U150</f>
        <v>-8.7185999999999986</v>
      </c>
      <c r="W150" s="38">
        <f t="shared" ref="W150" si="361">W149+L150</f>
        <v>74</v>
      </c>
      <c r="X150" s="39">
        <f t="shared" ref="X150" si="362">SUM(V150/W150)</f>
        <v>-0.11781891891891889</v>
      </c>
      <c r="Y150" s="40">
        <f t="shared" ref="Y150" si="363">V150/100</f>
        <v>-8.7185999999999986E-2</v>
      </c>
      <c r="Z150" s="41">
        <f t="shared" ref="Z150" si="364">V150*100</f>
        <v>-871.8599999999999</v>
      </c>
      <c r="AA150" s="13" t="s">
        <v>57</v>
      </c>
      <c r="AT150" s="37">
        <v>7.5</v>
      </c>
      <c r="AU150" s="37">
        <v>8</v>
      </c>
      <c r="AV150" s="10">
        <f t="shared" si="288"/>
        <v>3.7</v>
      </c>
      <c r="AW150" s="10">
        <f t="shared" si="354"/>
        <v>7.8080000000000007</v>
      </c>
      <c r="AZ150" t="str">
        <f t="shared" si="355"/>
        <v>Yes</v>
      </c>
      <c r="BB150" s="37">
        <f t="shared" si="356"/>
        <v>-0.5</v>
      </c>
      <c r="BC150" s="37">
        <f t="shared" si="281"/>
        <v>-1.5</v>
      </c>
      <c r="BD150" s="37">
        <f t="shared" si="357"/>
        <v>-1.5</v>
      </c>
      <c r="BE150" s="37">
        <f t="shared" si="358"/>
        <v>-0.5</v>
      </c>
      <c r="BF150" s="13" cm="1">
        <f t="array" ref="BF150">SUMPRODUCT((1/COUNTIFS($A$3:$A150,$A$3:$A150,$H$3:$H150,$H$3:$H150,$I$3:$I150,$I$3:$I150)))</f>
        <v>71.000000000000014</v>
      </c>
    </row>
    <row r="151" spans="1:58" x14ac:dyDescent="0.2">
      <c r="A151" s="91">
        <v>46291</v>
      </c>
      <c r="C151" s="37">
        <v>10.59</v>
      </c>
      <c r="D151" s="13" t="s">
        <v>205</v>
      </c>
      <c r="E151" s="13" t="s">
        <v>134</v>
      </c>
      <c r="H151" t="s">
        <v>139</v>
      </c>
      <c r="I151" s="13">
        <v>7</v>
      </c>
      <c r="J151" s="13">
        <v>4</v>
      </c>
      <c r="K151" t="s">
        <v>249</v>
      </c>
      <c r="L151" s="37">
        <v>0.5</v>
      </c>
      <c r="M151" s="37">
        <v>6.2</v>
      </c>
      <c r="N151" s="37">
        <v>6.2</v>
      </c>
      <c r="O151" s="37" t="s">
        <v>17</v>
      </c>
      <c r="Q151" s="13" t="s">
        <v>4</v>
      </c>
      <c r="R151" s="37">
        <v>5.7840000000000007</v>
      </c>
      <c r="S151" s="13" t="s">
        <v>136</v>
      </c>
      <c r="T151" s="38" t="str">
        <f t="shared" si="287"/>
        <v>0.00</v>
      </c>
      <c r="U151" s="38">
        <f t="shared" ref="U151" si="365">BE151</f>
        <v>-0.5</v>
      </c>
      <c r="V151" s="38">
        <f t="shared" ref="V151" si="366">V150+U151</f>
        <v>-9.2185999999999986</v>
      </c>
      <c r="W151" s="38">
        <f t="shared" ref="W151" si="367">W150+L151</f>
        <v>74.5</v>
      </c>
      <c r="X151" s="39">
        <f t="shared" ref="X151" si="368">SUM(V151/W151)</f>
        <v>-0.12373959731543623</v>
      </c>
      <c r="Y151" s="40">
        <f t="shared" ref="Y151" si="369">V151/100</f>
        <v>-9.218599999999999E-2</v>
      </c>
      <c r="Z151" s="41">
        <f t="shared" ref="Z151" si="370">V151*100</f>
        <v>-921.8599999999999</v>
      </c>
      <c r="AA151" s="13" t="s">
        <v>57</v>
      </c>
      <c r="AT151" s="37">
        <v>6</v>
      </c>
      <c r="AU151" s="37">
        <v>6.5</v>
      </c>
      <c r="AV151" s="10">
        <f t="shared" si="288"/>
        <v>2.6</v>
      </c>
      <c r="AW151" s="10">
        <f t="shared" si="354"/>
        <v>5.7840000000000007</v>
      </c>
      <c r="AZ151" t="str">
        <f t="shared" si="355"/>
        <v>Yes</v>
      </c>
      <c r="BB151" s="37">
        <f t="shared" ref="BB151" si="371">IF(AA151="W",
   L151*(N151-1),
   -L151
)</f>
        <v>-0.5</v>
      </c>
      <c r="BC151" s="37">
        <f t="shared" si="281"/>
        <v>-0.5</v>
      </c>
      <c r="BD151" s="37">
        <f t="shared" ref="BD151" si="372">IF(BC151&gt;0, BC151*0.92, BC151)</f>
        <v>-0.5</v>
      </c>
      <c r="BE151" s="37">
        <f t="shared" ref="BE151" si="373">IF(
  BC151&gt;0,
  IF(
    AA151="W",
    BB151 - (BC151 - BD151),
    BB151
  ),
  BB151
)</f>
        <v>-0.5</v>
      </c>
      <c r="BF151" s="13" cm="1">
        <f t="array" ref="BF151">SUMPRODUCT((1/COUNTIFS($A$3:$A151,$A$3:$A151,$H$3:$H151,$H$3:$H151,$I$3:$I151,$I$3:$I151)))</f>
        <v>72.000000000000014</v>
      </c>
    </row>
    <row r="152" spans="1:58" x14ac:dyDescent="0.2">
      <c r="A152" s="91">
        <v>46291</v>
      </c>
      <c r="C152" s="37">
        <v>10.59</v>
      </c>
      <c r="D152" s="13" t="s">
        <v>205</v>
      </c>
      <c r="E152" s="13" t="s">
        <v>134</v>
      </c>
      <c r="H152" t="s">
        <v>139</v>
      </c>
      <c r="I152" s="13">
        <v>9</v>
      </c>
      <c r="J152" s="13">
        <v>4</v>
      </c>
      <c r="K152" t="s">
        <v>355</v>
      </c>
      <c r="L152" s="37">
        <v>0.5</v>
      </c>
      <c r="M152" s="37">
        <v>28</v>
      </c>
      <c r="N152" s="37">
        <v>76.319999999999993</v>
      </c>
      <c r="O152" s="37" t="s">
        <v>17</v>
      </c>
      <c r="Q152" s="13" t="s">
        <v>4</v>
      </c>
      <c r="R152" s="37">
        <v>70.294399999999996</v>
      </c>
      <c r="S152" s="13" t="s">
        <v>136</v>
      </c>
      <c r="T152" s="38" t="str">
        <f t="shared" si="287"/>
        <v>0.00</v>
      </c>
      <c r="U152" s="38">
        <f t="shared" ref="U152" si="374">BE152</f>
        <v>-0.5</v>
      </c>
      <c r="V152" s="38">
        <f t="shared" ref="V152" si="375">V151+U152</f>
        <v>-9.7185999999999986</v>
      </c>
      <c r="W152" s="38">
        <f t="shared" ref="W152" si="376">W151+L152</f>
        <v>75</v>
      </c>
      <c r="X152" s="39">
        <f t="shared" ref="X152" si="377">SUM(V152/W152)</f>
        <v>-0.12958133333333333</v>
      </c>
      <c r="Y152" s="40">
        <f t="shared" ref="Y152" si="378">V152/100</f>
        <v>-9.7185999999999981E-2</v>
      </c>
      <c r="Z152" s="41">
        <f t="shared" ref="Z152" si="379">V152*100</f>
        <v>-971.8599999999999</v>
      </c>
      <c r="AA152" s="13" t="s">
        <v>57</v>
      </c>
      <c r="AT152" s="37">
        <v>61</v>
      </c>
      <c r="AU152" s="37">
        <v>61</v>
      </c>
      <c r="AV152" s="10">
        <f t="shared" si="288"/>
        <v>37.659999999999997</v>
      </c>
      <c r="AW152" s="10">
        <f t="shared" ref="AW152" si="380">0.92*(N152-1)+1</f>
        <v>70.294399999999996</v>
      </c>
      <c r="AZ152" t="str">
        <f t="shared" ref="AZ152" si="381">IF(N152&gt;=M152,"Yes","No")</f>
        <v>Yes</v>
      </c>
      <c r="BB152" s="37">
        <f t="shared" ref="BB152" si="382">IF(AA152="W",
   L152*(N152-1),
   -L152
)</f>
        <v>-0.5</v>
      </c>
      <c r="BC152" s="37">
        <f t="shared" si="281"/>
        <v>-0.5</v>
      </c>
      <c r="BD152" s="37">
        <f t="shared" ref="BD152" si="383">IF(BC152&gt;0, BC152*0.92, BC152)</f>
        <v>-0.5</v>
      </c>
      <c r="BE152" s="37">
        <f t="shared" ref="BE152" si="384">IF(
  BC152&gt;0,
  IF(
    AA152="W",
    BB152 - (BC152 - BD152),
    BB152
  ),
  BB152
)</f>
        <v>-0.5</v>
      </c>
      <c r="BF152" s="13" cm="1">
        <f t="array" ref="BF152">SUMPRODUCT((1/COUNTIFS($A$3:$A152,$A$3:$A152,$H$3:$H152,$H$3:$H152,$I$3:$I152,$I$3:$I152)))</f>
        <v>73.000000000000014</v>
      </c>
    </row>
    <row r="153" spans="1:58" x14ac:dyDescent="0.2">
      <c r="A153" s="91">
        <v>46291</v>
      </c>
      <c r="C153" s="37">
        <v>10.59</v>
      </c>
      <c r="D153" s="13" t="s">
        <v>205</v>
      </c>
      <c r="E153" s="13" t="s">
        <v>134</v>
      </c>
      <c r="H153" t="s">
        <v>139</v>
      </c>
      <c r="I153" s="13">
        <v>10</v>
      </c>
      <c r="J153" s="13">
        <v>1</v>
      </c>
      <c r="K153" t="s">
        <v>357</v>
      </c>
      <c r="L153" s="37">
        <v>0.5</v>
      </c>
      <c r="M153" s="37">
        <v>6.6</v>
      </c>
      <c r="N153" s="37">
        <v>6.6</v>
      </c>
      <c r="O153" s="37" t="s">
        <v>17</v>
      </c>
      <c r="Q153" s="13" t="s">
        <v>4</v>
      </c>
      <c r="R153" s="37">
        <v>6.1520000000000001</v>
      </c>
      <c r="S153" s="13" t="s">
        <v>136</v>
      </c>
      <c r="T153" s="38" t="str">
        <f t="shared" si="287"/>
        <v>0.00</v>
      </c>
      <c r="U153" s="38">
        <f t="shared" ref="U153:U154" si="385">BE153</f>
        <v>-0.5</v>
      </c>
      <c r="V153" s="38">
        <f t="shared" ref="V153:V154" si="386">V152+U153</f>
        <v>-10.218599999999999</v>
      </c>
      <c r="W153" s="38">
        <f t="shared" ref="W153:W154" si="387">W152+L153</f>
        <v>75.5</v>
      </c>
      <c r="X153" s="39">
        <f t="shared" ref="X153:X154" si="388">SUM(V153/W153)</f>
        <v>-0.13534569536423841</v>
      </c>
      <c r="Y153" s="40">
        <f t="shared" ref="Y153:Y154" si="389">V153/100</f>
        <v>-0.10218599999999999</v>
      </c>
      <c r="Z153" s="41">
        <f t="shared" ref="Z153:Z154" si="390">V153*100</f>
        <v>-1021.8599999999999</v>
      </c>
      <c r="AA153" s="13" t="s">
        <v>57</v>
      </c>
      <c r="AT153" s="37">
        <v>6.5</v>
      </c>
      <c r="AU153" s="37">
        <v>6.5</v>
      </c>
      <c r="AV153" s="10">
        <f t="shared" si="288"/>
        <v>2.8</v>
      </c>
      <c r="AW153" s="10">
        <f t="shared" ref="AW153:AW154" si="391">0.92*(N153-1)+1</f>
        <v>6.1520000000000001</v>
      </c>
      <c r="AZ153" t="str">
        <f t="shared" ref="AZ153:AZ154" si="392">IF(N153&gt;=M153,"Yes","No")</f>
        <v>Yes</v>
      </c>
      <c r="BB153" s="37">
        <f t="shared" ref="BB153:BB154" si="393">IF(AA153="W",
   L153*(N153-1),
   -L153
)</f>
        <v>-0.5</v>
      </c>
      <c r="BC153" s="37">
        <f t="shared" si="281"/>
        <v>-1</v>
      </c>
      <c r="BD153" s="37">
        <f t="shared" ref="BD153:BD154" si="394">IF(BC153&gt;0, BC153*0.92, BC153)</f>
        <v>-1</v>
      </c>
      <c r="BE153" s="37">
        <f t="shared" ref="BE153:BE154" si="395">IF(
  BC153&gt;0,
  IF(
    AA153="W",
    BB153 - (BC153 - BD153),
    BB153
  ),
  BB153
)</f>
        <v>-0.5</v>
      </c>
      <c r="BF153" s="13" cm="1">
        <f t="array" ref="BF153">SUMPRODUCT((1/COUNTIFS($A$3:$A153,$A$3:$A153,$H$3:$H153,$H$3:$H153,$I$3:$I153,$I$3:$I153)))</f>
        <v>74.000000000000014</v>
      </c>
    </row>
    <row r="154" spans="1:58" x14ac:dyDescent="0.2">
      <c r="A154" s="91">
        <v>46291</v>
      </c>
      <c r="C154" s="37">
        <v>10.59</v>
      </c>
      <c r="D154" s="13" t="s">
        <v>205</v>
      </c>
      <c r="E154" s="13" t="s">
        <v>134</v>
      </c>
      <c r="H154" t="s">
        <v>139</v>
      </c>
      <c r="I154" s="13">
        <v>10</v>
      </c>
      <c r="J154" s="13">
        <v>17</v>
      </c>
      <c r="K154" s="98" t="s">
        <v>360</v>
      </c>
      <c r="L154" s="37">
        <v>0.5</v>
      </c>
      <c r="M154" s="37">
        <v>18.5</v>
      </c>
      <c r="N154" s="37">
        <v>18.5</v>
      </c>
      <c r="O154" s="37" t="s">
        <v>17</v>
      </c>
      <c r="Q154" s="13" t="s">
        <v>4</v>
      </c>
      <c r="R154" s="37">
        <v>17.100000000000001</v>
      </c>
      <c r="S154" s="13">
        <v>4</v>
      </c>
      <c r="T154" s="38" t="str">
        <f t="shared" si="287"/>
        <v>0.00</v>
      </c>
      <c r="U154" s="38">
        <f t="shared" si="385"/>
        <v>-0.5</v>
      </c>
      <c r="V154" s="38">
        <f t="shared" si="386"/>
        <v>-10.718599999999999</v>
      </c>
      <c r="W154" s="38">
        <f t="shared" si="387"/>
        <v>76</v>
      </c>
      <c r="X154" s="39">
        <f t="shared" si="388"/>
        <v>-0.14103421052631576</v>
      </c>
      <c r="Y154" s="40">
        <f t="shared" si="389"/>
        <v>-0.10718599999999999</v>
      </c>
      <c r="Z154" s="41">
        <f t="shared" si="390"/>
        <v>-1071.8599999999999</v>
      </c>
      <c r="AA154" s="13" t="s">
        <v>57</v>
      </c>
      <c r="AT154" s="37">
        <v>20.3</v>
      </c>
      <c r="AU154" s="37">
        <v>18</v>
      </c>
      <c r="AV154" s="10">
        <f t="shared" si="288"/>
        <v>8.75</v>
      </c>
      <c r="AW154" s="10">
        <f t="shared" si="391"/>
        <v>17.100000000000001</v>
      </c>
      <c r="AZ154" t="str">
        <f t="shared" si="392"/>
        <v>Yes</v>
      </c>
      <c r="BB154" s="37">
        <f t="shared" si="393"/>
        <v>-0.5</v>
      </c>
      <c r="BC154" s="37">
        <f t="shared" si="281"/>
        <v>-1</v>
      </c>
      <c r="BD154" s="37">
        <f t="shared" si="394"/>
        <v>-1</v>
      </c>
      <c r="BE154" s="37">
        <f t="shared" si="395"/>
        <v>-0.5</v>
      </c>
      <c r="BF154" s="13" cm="1">
        <f t="array" ref="BF154">SUMPRODUCT((1/COUNTIFS($A$3:$A154,$A$3:$A154,$H$3:$H154,$H$3:$H154,$I$3:$I154,$I$3:$I154)))</f>
        <v>74.000000000000014</v>
      </c>
    </row>
    <row r="155" spans="1:58" x14ac:dyDescent="0.2">
      <c r="A155" s="91">
        <v>46295</v>
      </c>
      <c r="C155" s="37">
        <v>12.07</v>
      </c>
      <c r="D155" s="13" t="s">
        <v>133</v>
      </c>
      <c r="E155" s="13" t="s">
        <v>142</v>
      </c>
      <c r="H155" t="s">
        <v>140</v>
      </c>
      <c r="I155" s="13">
        <v>1</v>
      </c>
      <c r="J155" s="13">
        <v>7</v>
      </c>
      <c r="K155" t="s">
        <v>361</v>
      </c>
      <c r="L155" s="37">
        <v>0.5</v>
      </c>
      <c r="M155" s="37">
        <v>15</v>
      </c>
      <c r="N155" s="37">
        <v>15</v>
      </c>
      <c r="O155" s="37" t="s">
        <v>17</v>
      </c>
      <c r="Q155" s="13" t="s">
        <v>4</v>
      </c>
      <c r="R155" s="37">
        <v>13.88</v>
      </c>
      <c r="S155" s="13" t="s">
        <v>136</v>
      </c>
      <c r="T155" s="38" t="str">
        <f t="shared" si="287"/>
        <v>0.00</v>
      </c>
      <c r="U155" s="38">
        <f t="shared" ref="U155:U157" si="396">BE155</f>
        <v>-0.5</v>
      </c>
      <c r="V155" s="38">
        <f t="shared" ref="V155:V157" si="397">V154+U155</f>
        <v>-11.218599999999999</v>
      </c>
      <c r="W155" s="38">
        <f t="shared" ref="W155:W157" si="398">W154+L155</f>
        <v>76.5</v>
      </c>
      <c r="X155" s="39">
        <f t="shared" ref="X155:X157" si="399">SUM(V155/W155)</f>
        <v>-0.14664836601307188</v>
      </c>
      <c r="Y155" s="40">
        <f t="shared" ref="Y155:Y157" si="400">V155/100</f>
        <v>-0.11218599999999998</v>
      </c>
      <c r="Z155" s="41">
        <f t="shared" ref="Z155:Z157" si="401">V155*100</f>
        <v>-1121.8599999999999</v>
      </c>
      <c r="AA155" s="13" t="s">
        <v>57</v>
      </c>
      <c r="AT155" s="37">
        <v>12</v>
      </c>
      <c r="AU155" s="37">
        <v>12</v>
      </c>
      <c r="AV155" s="10">
        <f t="shared" si="288"/>
        <v>7</v>
      </c>
      <c r="AW155" s="10">
        <f t="shared" ref="AW155:AW157" si="402">0.92*(N155-1)+1</f>
        <v>13.88</v>
      </c>
      <c r="AZ155" t="str">
        <f t="shared" ref="AZ155:AZ157" si="403">IF(N155&gt;=M155,"Yes","No")</f>
        <v>Yes</v>
      </c>
      <c r="BB155" s="37">
        <f t="shared" ref="BB155:BB157" si="404">IF(AA155="W",
   L155*(N155-1),
   -L155
)</f>
        <v>-0.5</v>
      </c>
      <c r="BC155" s="37">
        <f t="shared" si="281"/>
        <v>-0.63600000000000001</v>
      </c>
      <c r="BD155" s="37">
        <f t="shared" ref="BD155:BD157" si="405">IF(BC155&gt;0, BC155*0.92, BC155)</f>
        <v>-0.63600000000000001</v>
      </c>
      <c r="BE155" s="37">
        <f t="shared" ref="BE155:BE157" si="406">IF(
  BC155&gt;0,
  IF(
    AA155="W",
    BB155 - (BC155 - BD155),
    BB155
  ),
  BB155
)</f>
        <v>-0.5</v>
      </c>
      <c r="BF155" s="13" cm="1">
        <f t="array" ref="BF155">SUMPRODUCT((1/COUNTIFS($A$3:$A155,$A$3:$A155,$H$3:$H155,$H$3:$H155,$I$3:$I155,$I$3:$I155)))</f>
        <v>75.000000000000014</v>
      </c>
    </row>
    <row r="156" spans="1:58" x14ac:dyDescent="0.2">
      <c r="A156" s="91">
        <v>46295</v>
      </c>
      <c r="C156" s="37">
        <v>12.07</v>
      </c>
      <c r="D156" s="13" t="s">
        <v>133</v>
      </c>
      <c r="E156" s="13" t="s">
        <v>142</v>
      </c>
      <c r="H156" t="s">
        <v>140</v>
      </c>
      <c r="I156" s="13">
        <v>1</v>
      </c>
      <c r="J156" s="13">
        <v>8</v>
      </c>
      <c r="K156" s="92" t="s">
        <v>362</v>
      </c>
      <c r="L156" s="37">
        <v>0.5</v>
      </c>
      <c r="M156" s="37">
        <v>10.5</v>
      </c>
      <c r="N156" s="37">
        <v>11.63</v>
      </c>
      <c r="O156" s="37" t="s">
        <v>17</v>
      </c>
      <c r="Q156" s="13" t="s">
        <v>4</v>
      </c>
      <c r="R156" s="37">
        <v>10.7796</v>
      </c>
      <c r="S156" s="13">
        <v>3</v>
      </c>
      <c r="T156" s="38" t="str">
        <f t="shared" si="287"/>
        <v>0.00</v>
      </c>
      <c r="U156" s="38">
        <f t="shared" si="396"/>
        <v>-0.5</v>
      </c>
      <c r="V156" s="38">
        <f t="shared" si="397"/>
        <v>-11.718599999999999</v>
      </c>
      <c r="W156" s="38">
        <f t="shared" si="398"/>
        <v>77</v>
      </c>
      <c r="X156" s="39">
        <f t="shared" si="399"/>
        <v>-0.15218961038961037</v>
      </c>
      <c r="Y156" s="40">
        <f t="shared" si="400"/>
        <v>-0.11718599999999998</v>
      </c>
      <c r="Z156" s="41">
        <f t="shared" si="401"/>
        <v>-1171.8599999999999</v>
      </c>
      <c r="AA156" s="13" t="s">
        <v>57</v>
      </c>
      <c r="AT156" s="37">
        <v>11</v>
      </c>
      <c r="AU156" s="37">
        <v>10</v>
      </c>
      <c r="AV156" s="10">
        <f t="shared" si="288"/>
        <v>5.3150000000000004</v>
      </c>
      <c r="AW156" s="10">
        <f t="shared" si="402"/>
        <v>10.7796</v>
      </c>
      <c r="AZ156" t="str">
        <f t="shared" si="403"/>
        <v>Yes</v>
      </c>
      <c r="BB156" s="37">
        <f t="shared" si="404"/>
        <v>-0.5</v>
      </c>
      <c r="BC156" s="37">
        <f t="shared" si="281"/>
        <v>-0.63600000000000001</v>
      </c>
      <c r="BD156" s="37">
        <f t="shared" si="405"/>
        <v>-0.63600000000000001</v>
      </c>
      <c r="BE156" s="37">
        <f t="shared" si="406"/>
        <v>-0.5</v>
      </c>
      <c r="BF156" s="13" cm="1">
        <f t="array" ref="BF156">SUMPRODUCT((1/COUNTIFS($A$3:$A156,$A$3:$A156,$H$3:$H156,$H$3:$H156,$I$3:$I156,$I$3:$I156)))</f>
        <v>75.000000000000014</v>
      </c>
    </row>
    <row r="157" spans="1:58" x14ac:dyDescent="0.2">
      <c r="A157" s="91">
        <v>46295</v>
      </c>
      <c r="C157" s="37">
        <v>12.07</v>
      </c>
      <c r="D157" s="13" t="s">
        <v>133</v>
      </c>
      <c r="E157" s="13" t="s">
        <v>142</v>
      </c>
      <c r="H157" t="s">
        <v>140</v>
      </c>
      <c r="I157" s="13">
        <v>1</v>
      </c>
      <c r="J157" s="13">
        <v>8</v>
      </c>
      <c r="K157" s="101" t="s">
        <v>362</v>
      </c>
      <c r="L157" s="37">
        <v>0.2</v>
      </c>
      <c r="M157" s="37">
        <v>2.82</v>
      </c>
      <c r="N157" s="37">
        <v>2.82</v>
      </c>
      <c r="O157" s="37" t="s">
        <v>17</v>
      </c>
      <c r="Q157" s="13" t="s">
        <v>89</v>
      </c>
      <c r="R157" s="37">
        <v>2.6743999999999999</v>
      </c>
      <c r="S157" s="13">
        <v>3</v>
      </c>
      <c r="T157" s="38">
        <f t="shared" si="287"/>
        <v>0.53</v>
      </c>
      <c r="U157" s="38">
        <f t="shared" si="396"/>
        <v>0.36399999999999999</v>
      </c>
      <c r="V157" s="38">
        <f t="shared" si="397"/>
        <v>-11.354599999999998</v>
      </c>
      <c r="W157" s="38">
        <f t="shared" si="398"/>
        <v>77.2</v>
      </c>
      <c r="X157" s="39">
        <f t="shared" si="399"/>
        <v>-0.14708031088082898</v>
      </c>
      <c r="Y157" s="40">
        <f t="shared" si="400"/>
        <v>-0.11354599999999998</v>
      </c>
      <c r="Z157" s="41">
        <f t="shared" si="401"/>
        <v>-1135.4599999999998</v>
      </c>
      <c r="AA157" s="13" t="s">
        <v>206</v>
      </c>
      <c r="AT157" s="37">
        <v>2.7</v>
      </c>
      <c r="AU157" s="37">
        <v>2.7</v>
      </c>
      <c r="AV157" s="10">
        <f t="shared" si="288"/>
        <v>0.36399999999999993</v>
      </c>
      <c r="AW157" s="10">
        <f t="shared" si="402"/>
        <v>2.6743999999999999</v>
      </c>
      <c r="AZ157" t="str">
        <f t="shared" si="403"/>
        <v>Yes</v>
      </c>
      <c r="BB157" s="37">
        <f t="shared" si="404"/>
        <v>0.36399999999999999</v>
      </c>
      <c r="BC157" s="37">
        <f t="shared" si="281"/>
        <v>-0.63600000000000001</v>
      </c>
      <c r="BD157" s="37">
        <f t="shared" si="405"/>
        <v>-0.63600000000000001</v>
      </c>
      <c r="BE157" s="37">
        <f t="shared" si="406"/>
        <v>0.36399999999999999</v>
      </c>
      <c r="BF157" s="13" cm="1">
        <f t="array" ref="BF157">SUMPRODUCT((1/COUNTIFS($A$3:$A157,$A$3:$A157,$H$3:$H157,$H$3:$H157,$I$3:$I157,$I$3:$I157)))</f>
        <v>75</v>
      </c>
    </row>
    <row r="158" spans="1:58" x14ac:dyDescent="0.2">
      <c r="A158" s="91">
        <v>46295</v>
      </c>
      <c r="C158" s="37">
        <v>12.07</v>
      </c>
      <c r="D158" s="13" t="s">
        <v>133</v>
      </c>
      <c r="E158" s="13" t="s">
        <v>142</v>
      </c>
      <c r="H158" t="s">
        <v>140</v>
      </c>
      <c r="I158" s="13">
        <v>2</v>
      </c>
      <c r="J158" s="13">
        <v>6</v>
      </c>
      <c r="K158" s="99" t="s">
        <v>364</v>
      </c>
      <c r="L158" s="37">
        <v>0.5</v>
      </c>
      <c r="M158" s="37">
        <v>13</v>
      </c>
      <c r="N158" s="37">
        <v>13.42</v>
      </c>
      <c r="O158" s="37" t="s">
        <v>17</v>
      </c>
      <c r="Q158" s="13" t="s">
        <v>4</v>
      </c>
      <c r="R158" s="37">
        <v>12.426400000000001</v>
      </c>
      <c r="S158" s="13">
        <v>2</v>
      </c>
      <c r="T158" s="38" t="str">
        <f t="shared" si="287"/>
        <v>0.00</v>
      </c>
      <c r="U158" s="38">
        <f t="shared" ref="U158" si="407">BE158</f>
        <v>-0.5</v>
      </c>
      <c r="V158" s="38">
        <f t="shared" ref="V158" si="408">V157+U158</f>
        <v>-11.854599999999998</v>
      </c>
      <c r="W158" s="38">
        <f t="shared" ref="W158" si="409">W157+L158</f>
        <v>77.7</v>
      </c>
      <c r="X158" s="39">
        <f t="shared" ref="X158" si="410">SUM(V158/W158)</f>
        <v>-0.15256885456885452</v>
      </c>
      <c r="Y158" s="40">
        <f t="shared" ref="Y158" si="411">V158/100</f>
        <v>-0.11854599999999998</v>
      </c>
      <c r="Z158" s="41">
        <f t="shared" ref="Z158" si="412">V158*100</f>
        <v>-1185.4599999999998</v>
      </c>
      <c r="AA158" s="13" t="s">
        <v>57</v>
      </c>
      <c r="AT158" s="37">
        <v>12.9</v>
      </c>
      <c r="AU158" s="37">
        <v>12</v>
      </c>
      <c r="AV158" s="10">
        <f t="shared" si="288"/>
        <v>6.21</v>
      </c>
      <c r="AW158" s="10">
        <f t="shared" ref="AW158" si="413">0.92*(N158-1)+1</f>
        <v>12.426400000000001</v>
      </c>
      <c r="AZ158" t="str">
        <f t="shared" ref="AZ158" si="414">IF(N158&gt;=M158,"Yes","No")</f>
        <v>Yes</v>
      </c>
      <c r="BB158" s="37">
        <f t="shared" ref="BB158" si="415">IF(AA158="W",
   L158*(N158-1),
   -L158
)</f>
        <v>-0.5</v>
      </c>
      <c r="BC158" s="37">
        <f t="shared" si="281"/>
        <v>-0.5</v>
      </c>
      <c r="BD158" s="37">
        <f t="shared" ref="BD158" si="416">IF(BC158&gt;0, BC158*0.92, BC158)</f>
        <v>-0.5</v>
      </c>
      <c r="BE158" s="37">
        <f t="shared" ref="BE158" si="417">IF(
  BC158&gt;0,
  IF(
    AA158="W",
    BB158 - (BC158 - BD158),
    BB158
  ),
  BB158
)</f>
        <v>-0.5</v>
      </c>
      <c r="BF158" s="13" cm="1">
        <f t="array" ref="BF158">SUMPRODUCT((1/COUNTIFS($A$3:$A158,$A$3:$A158,$H$3:$H158,$H$3:$H158,$I$3:$I158,$I$3:$I158)))</f>
        <v>76</v>
      </c>
    </row>
    <row r="159" spans="1:58" x14ac:dyDescent="0.2">
      <c r="A159" s="91">
        <v>46295</v>
      </c>
      <c r="C159" s="37">
        <v>12.07</v>
      </c>
      <c r="D159" s="13" t="s">
        <v>133</v>
      </c>
      <c r="E159" s="13" t="s">
        <v>142</v>
      </c>
      <c r="H159" t="s">
        <v>140</v>
      </c>
      <c r="I159" s="13">
        <v>3</v>
      </c>
      <c r="J159" s="13">
        <v>2</v>
      </c>
      <c r="K159" t="s">
        <v>365</v>
      </c>
      <c r="L159" s="37">
        <v>0.5</v>
      </c>
      <c r="M159" s="37">
        <v>9</v>
      </c>
      <c r="N159" s="37">
        <v>23</v>
      </c>
      <c r="O159" s="37" t="s">
        <v>17</v>
      </c>
      <c r="Q159" s="13" t="s">
        <v>4</v>
      </c>
      <c r="R159" s="37">
        <v>21.240000000000002</v>
      </c>
      <c r="S159" s="13" t="s">
        <v>136</v>
      </c>
      <c r="T159" s="38" t="str">
        <f t="shared" si="287"/>
        <v>0.00</v>
      </c>
      <c r="U159" s="38">
        <f t="shared" ref="U159:U166" si="418">BE159</f>
        <v>-0.5</v>
      </c>
      <c r="V159" s="38">
        <f t="shared" ref="V159:V166" si="419">V158+U159</f>
        <v>-12.354599999999998</v>
      </c>
      <c r="W159" s="38">
        <f t="shared" ref="W159:W166" si="420">W158+L159</f>
        <v>78.2</v>
      </c>
      <c r="X159" s="39">
        <f t="shared" ref="X159:X166" si="421">SUM(V159/W159)</f>
        <v>-0.15798721227621479</v>
      </c>
      <c r="Y159" s="40">
        <f t="shared" ref="Y159:Y166" si="422">V159/100</f>
        <v>-0.12354599999999998</v>
      </c>
      <c r="Z159" s="41">
        <f t="shared" ref="Z159:Z166" si="423">V159*100</f>
        <v>-1235.4599999999998</v>
      </c>
      <c r="AA159" s="13" t="s">
        <v>57</v>
      </c>
      <c r="AT159" s="37">
        <v>15</v>
      </c>
      <c r="AU159" s="37">
        <v>13</v>
      </c>
      <c r="AV159" s="10">
        <f t="shared" si="288"/>
        <v>11</v>
      </c>
      <c r="AW159" s="10">
        <f t="shared" ref="AW159:AW166" si="424">0.92*(N159-1)+1</f>
        <v>21.240000000000002</v>
      </c>
      <c r="AZ159" t="str">
        <f t="shared" ref="AZ159:AZ166" si="425">IF(N159&gt;=M159,"Yes","No")</f>
        <v>Yes</v>
      </c>
      <c r="BB159" s="37">
        <f t="shared" ref="BB159:BB166" si="426">IF(AA159="W",
   L159*(N159-1),
   -L159
)</f>
        <v>-0.5</v>
      </c>
      <c r="BC159" s="37">
        <f t="shared" ref="BC159:BC223" si="427">SUMIFS(
  $BB:$BB,
  $A:$A,$A159,
  $H:$H,$H159,
  $I:$I,$I159
)</f>
        <v>-0.7</v>
      </c>
      <c r="BD159" s="37">
        <f t="shared" ref="BD159:BD166" si="428">IF(BC159&gt;0, BC159*0.92, BC159)</f>
        <v>-0.7</v>
      </c>
      <c r="BE159" s="37">
        <f t="shared" ref="BE159:BE166" si="429">IF(
  BC159&gt;0,
  IF(
    AA159="W",
    BB159 - (BC159 - BD159),
    BB159
  ),
  BB159
)</f>
        <v>-0.5</v>
      </c>
      <c r="BF159" s="13" cm="1">
        <f t="array" ref="BF159">SUMPRODUCT((1/COUNTIFS($A$3:$A159,$A$3:$A159,$H$3:$H159,$H$3:$H159,$I$3:$I159,$I$3:$I159)))</f>
        <v>77</v>
      </c>
    </row>
    <row r="160" spans="1:58" x14ac:dyDescent="0.2">
      <c r="A160" s="91">
        <v>46295</v>
      </c>
      <c r="C160" s="37">
        <v>12.07</v>
      </c>
      <c r="D160" s="13" t="s">
        <v>133</v>
      </c>
      <c r="E160" s="13" t="s">
        <v>142</v>
      </c>
      <c r="H160" t="s">
        <v>140</v>
      </c>
      <c r="I160" s="13">
        <v>3</v>
      </c>
      <c r="J160" s="13">
        <v>2</v>
      </c>
      <c r="K160" t="s">
        <v>365</v>
      </c>
      <c r="L160" s="37">
        <v>0.2</v>
      </c>
      <c r="M160" s="37">
        <v>2.06</v>
      </c>
      <c r="N160" s="37">
        <v>3</v>
      </c>
      <c r="O160" s="37" t="s">
        <v>17</v>
      </c>
      <c r="Q160" s="13" t="s">
        <v>89</v>
      </c>
      <c r="R160" s="37">
        <v>2.84</v>
      </c>
      <c r="S160" s="13" t="s">
        <v>136</v>
      </c>
      <c r="T160" s="38" t="str">
        <f t="shared" si="287"/>
        <v>0.00</v>
      </c>
      <c r="U160" s="38">
        <f t="shared" si="418"/>
        <v>-0.2</v>
      </c>
      <c r="V160" s="38">
        <f t="shared" si="419"/>
        <v>-12.554599999999997</v>
      </c>
      <c r="W160" s="38">
        <f t="shared" si="420"/>
        <v>78.400000000000006</v>
      </c>
      <c r="X160" s="39">
        <f t="shared" si="421"/>
        <v>-0.16013520408163259</v>
      </c>
      <c r="Y160" s="40">
        <f t="shared" si="422"/>
        <v>-0.12554599999999996</v>
      </c>
      <c r="Z160" s="41">
        <f t="shared" si="423"/>
        <v>-1255.4599999999998</v>
      </c>
      <c r="AA160" s="13" t="s">
        <v>57</v>
      </c>
      <c r="AT160" s="37">
        <v>4.8</v>
      </c>
      <c r="AU160" s="37">
        <v>4.8</v>
      </c>
      <c r="AV160" s="10">
        <f t="shared" si="288"/>
        <v>0.40000000000000008</v>
      </c>
      <c r="AW160" s="10">
        <f t="shared" si="424"/>
        <v>2.84</v>
      </c>
      <c r="AZ160" t="str">
        <f t="shared" si="425"/>
        <v>Yes</v>
      </c>
      <c r="BB160" s="37">
        <f t="shared" si="426"/>
        <v>-0.2</v>
      </c>
      <c r="BC160" s="37">
        <f t="shared" si="427"/>
        <v>-0.7</v>
      </c>
      <c r="BD160" s="37">
        <f t="shared" si="428"/>
        <v>-0.7</v>
      </c>
      <c r="BE160" s="37">
        <f t="shared" si="429"/>
        <v>-0.2</v>
      </c>
      <c r="BF160" s="13" cm="1">
        <f t="array" ref="BF160">SUMPRODUCT((1/COUNTIFS($A$3:$A160,$A$3:$A160,$H$3:$H160,$H$3:$H160,$I$3:$I160,$I$3:$I160)))</f>
        <v>77</v>
      </c>
    </row>
    <row r="161" spans="1:58" x14ac:dyDescent="0.2">
      <c r="A161" s="91">
        <v>46295</v>
      </c>
      <c r="C161" s="37">
        <v>12.07</v>
      </c>
      <c r="D161" s="13" t="s">
        <v>133</v>
      </c>
      <c r="E161" s="13" t="s">
        <v>134</v>
      </c>
      <c r="H161" t="s">
        <v>139</v>
      </c>
      <c r="I161" s="13">
        <v>3</v>
      </c>
      <c r="J161" s="13">
        <v>3</v>
      </c>
      <c r="K161" t="s">
        <v>367</v>
      </c>
      <c r="L161" s="37">
        <v>0.5</v>
      </c>
      <c r="M161" s="37">
        <v>14</v>
      </c>
      <c r="N161" s="37">
        <v>15.46</v>
      </c>
      <c r="O161" s="37" t="s">
        <v>17</v>
      </c>
      <c r="Q161" s="13" t="s">
        <v>4</v>
      </c>
      <c r="R161" s="37">
        <v>14.303200000000002</v>
      </c>
      <c r="S161" s="13" t="s">
        <v>136</v>
      </c>
      <c r="T161" s="38" t="str">
        <f t="shared" si="287"/>
        <v>0.00</v>
      </c>
      <c r="U161" s="38">
        <f t="shared" si="418"/>
        <v>-0.5</v>
      </c>
      <c r="V161" s="38">
        <f t="shared" si="419"/>
        <v>-13.054599999999997</v>
      </c>
      <c r="W161" s="38">
        <f t="shared" si="420"/>
        <v>78.900000000000006</v>
      </c>
      <c r="X161" s="39">
        <f t="shared" si="421"/>
        <v>-0.16545754119138145</v>
      </c>
      <c r="Y161" s="40">
        <f t="shared" si="422"/>
        <v>-0.13054599999999997</v>
      </c>
      <c r="Z161" s="41">
        <f t="shared" si="423"/>
        <v>-1305.4599999999998</v>
      </c>
      <c r="AA161" s="13" t="s">
        <v>57</v>
      </c>
      <c r="AT161" s="37">
        <v>12.6</v>
      </c>
      <c r="AU161" s="37">
        <v>12</v>
      </c>
      <c r="AV161" s="10">
        <f t="shared" si="288"/>
        <v>7.23</v>
      </c>
      <c r="AW161" s="10">
        <f t="shared" si="424"/>
        <v>14.303200000000002</v>
      </c>
      <c r="AZ161" t="str">
        <f t="shared" si="425"/>
        <v>Yes</v>
      </c>
      <c r="BB161" s="37">
        <f t="shared" si="426"/>
        <v>-0.5</v>
      </c>
      <c r="BC161" s="37">
        <f t="shared" si="427"/>
        <v>-0.5</v>
      </c>
      <c r="BD161" s="37">
        <f t="shared" si="428"/>
        <v>-0.5</v>
      </c>
      <c r="BE161" s="37">
        <f t="shared" si="429"/>
        <v>-0.5</v>
      </c>
      <c r="BF161" s="13" cm="1">
        <f t="array" ref="BF161">SUMPRODUCT((1/COUNTIFS($A$3:$A161,$A$3:$A161,$H$3:$H161,$H$3:$H161,$I$3:$I161,$I$3:$I161)))</f>
        <v>78</v>
      </c>
    </row>
    <row r="162" spans="1:58" x14ac:dyDescent="0.2">
      <c r="A162" s="91">
        <v>46295</v>
      </c>
      <c r="C162" s="37">
        <v>12.07</v>
      </c>
      <c r="D162" s="13" t="s">
        <v>133</v>
      </c>
      <c r="E162" s="13" t="s">
        <v>142</v>
      </c>
      <c r="H162" t="s">
        <v>140</v>
      </c>
      <c r="I162" s="13">
        <v>5</v>
      </c>
      <c r="J162" s="13">
        <v>1</v>
      </c>
      <c r="K162" t="s">
        <v>369</v>
      </c>
      <c r="L162" s="37">
        <v>0.5</v>
      </c>
      <c r="M162" s="37">
        <v>19</v>
      </c>
      <c r="N162" s="37">
        <v>26.71</v>
      </c>
      <c r="O162" s="37" t="s">
        <v>17</v>
      </c>
      <c r="Q162" s="13" t="s">
        <v>4</v>
      </c>
      <c r="R162" s="37">
        <v>24.653200000000002</v>
      </c>
      <c r="S162" s="13" t="s">
        <v>136</v>
      </c>
      <c r="T162" s="38" t="str">
        <f t="shared" si="287"/>
        <v>0.00</v>
      </c>
      <c r="U162" s="38">
        <f t="shared" si="418"/>
        <v>-0.5</v>
      </c>
      <c r="V162" s="38">
        <f t="shared" si="419"/>
        <v>-13.554599999999997</v>
      </c>
      <c r="W162" s="38">
        <f t="shared" si="420"/>
        <v>79.400000000000006</v>
      </c>
      <c r="X162" s="39">
        <f t="shared" si="421"/>
        <v>-0.170712846347607</v>
      </c>
      <c r="Y162" s="40">
        <f t="shared" si="422"/>
        <v>-0.13554599999999997</v>
      </c>
      <c r="Z162" s="41">
        <f t="shared" si="423"/>
        <v>-1355.4599999999998</v>
      </c>
      <c r="AA162" s="13" t="s">
        <v>57</v>
      </c>
      <c r="AT162" s="37">
        <v>22.1</v>
      </c>
      <c r="AU162" s="37">
        <v>19</v>
      </c>
      <c r="AV162" s="10">
        <f t="shared" si="288"/>
        <v>12.855</v>
      </c>
      <c r="AW162" s="10">
        <f t="shared" si="424"/>
        <v>24.653200000000002</v>
      </c>
      <c r="AZ162" t="str">
        <f t="shared" si="425"/>
        <v>Yes</v>
      </c>
      <c r="BB162" s="37">
        <f t="shared" si="426"/>
        <v>-0.5</v>
      </c>
      <c r="BC162" s="37">
        <f t="shared" si="427"/>
        <v>-0.5</v>
      </c>
      <c r="BD162" s="37">
        <f t="shared" si="428"/>
        <v>-0.5</v>
      </c>
      <c r="BE162" s="37">
        <f t="shared" si="429"/>
        <v>-0.5</v>
      </c>
      <c r="BF162" s="13" cm="1">
        <f t="array" ref="BF162">SUMPRODUCT((1/COUNTIFS($A$3:$A162,$A$3:$A162,$H$3:$H162,$H$3:$H162,$I$3:$I162,$I$3:$I162)))</f>
        <v>79</v>
      </c>
    </row>
    <row r="163" spans="1:58" x14ac:dyDescent="0.2">
      <c r="A163" s="91">
        <v>46295</v>
      </c>
      <c r="C163" s="37">
        <v>12.07</v>
      </c>
      <c r="D163" s="13" t="s">
        <v>133</v>
      </c>
      <c r="E163" s="13" t="s">
        <v>134</v>
      </c>
      <c r="H163" t="s">
        <v>139</v>
      </c>
      <c r="I163" s="13">
        <v>5</v>
      </c>
      <c r="J163" s="13">
        <v>1</v>
      </c>
      <c r="K163" t="s">
        <v>371</v>
      </c>
      <c r="L163" s="37">
        <v>0.5</v>
      </c>
      <c r="M163" s="37">
        <v>18.5</v>
      </c>
      <c r="N163" s="37">
        <v>18.5</v>
      </c>
      <c r="O163" s="37" t="s">
        <v>17</v>
      </c>
      <c r="Q163" s="13" t="s">
        <v>4</v>
      </c>
      <c r="R163" s="37">
        <v>17.100000000000001</v>
      </c>
      <c r="S163" s="13" t="s">
        <v>136</v>
      </c>
      <c r="T163" s="38" t="str">
        <f t="shared" si="287"/>
        <v>0.00</v>
      </c>
      <c r="U163" s="38">
        <f t="shared" si="418"/>
        <v>-0.5</v>
      </c>
      <c r="V163" s="38">
        <f t="shared" si="419"/>
        <v>-14.054599999999997</v>
      </c>
      <c r="W163" s="38">
        <f t="shared" si="420"/>
        <v>79.900000000000006</v>
      </c>
      <c r="X163" s="39">
        <f t="shared" si="421"/>
        <v>-0.17590237797246552</v>
      </c>
      <c r="Y163" s="40">
        <f t="shared" si="422"/>
        <v>-0.14054599999999998</v>
      </c>
      <c r="Z163" s="41">
        <f t="shared" si="423"/>
        <v>-1405.4599999999998</v>
      </c>
      <c r="AA163" s="13" t="s">
        <v>57</v>
      </c>
      <c r="AT163" s="37">
        <v>17.399999999999999</v>
      </c>
      <c r="AU163" s="37">
        <v>16</v>
      </c>
      <c r="AV163" s="10">
        <f t="shared" si="288"/>
        <v>8.75</v>
      </c>
      <c r="AW163" s="10">
        <f t="shared" si="424"/>
        <v>17.100000000000001</v>
      </c>
      <c r="AZ163" t="str">
        <f t="shared" si="425"/>
        <v>Yes</v>
      </c>
      <c r="BB163" s="37">
        <f t="shared" si="426"/>
        <v>-0.5</v>
      </c>
      <c r="BC163" s="37">
        <f t="shared" si="427"/>
        <v>-1</v>
      </c>
      <c r="BD163" s="37">
        <f t="shared" si="428"/>
        <v>-1</v>
      </c>
      <c r="BE163" s="37">
        <f t="shared" si="429"/>
        <v>-0.5</v>
      </c>
      <c r="BF163" s="13" cm="1">
        <f t="array" ref="BF163">SUMPRODUCT((1/COUNTIFS($A$3:$A163,$A$3:$A163,$H$3:$H163,$H$3:$H163,$I$3:$I163,$I$3:$I163)))</f>
        <v>80</v>
      </c>
    </row>
    <row r="164" spans="1:58" x14ac:dyDescent="0.2">
      <c r="A164" s="91">
        <v>46295</v>
      </c>
      <c r="C164" s="37">
        <v>12.07</v>
      </c>
      <c r="D164" s="13" t="s">
        <v>133</v>
      </c>
      <c r="E164" s="13" t="s">
        <v>134</v>
      </c>
      <c r="H164" t="s">
        <v>139</v>
      </c>
      <c r="I164" s="13">
        <v>5</v>
      </c>
      <c r="J164" s="13">
        <v>5</v>
      </c>
      <c r="K164" t="s">
        <v>372</v>
      </c>
      <c r="L164" s="37">
        <v>0.5</v>
      </c>
      <c r="M164" s="37">
        <v>12.5</v>
      </c>
      <c r="N164" s="37">
        <v>12.5</v>
      </c>
      <c r="O164" s="37" t="s">
        <v>17</v>
      </c>
      <c r="Q164" s="13" t="s">
        <v>4</v>
      </c>
      <c r="R164" s="37">
        <v>11.58</v>
      </c>
      <c r="S164" s="13" t="s">
        <v>136</v>
      </c>
      <c r="T164" s="38" t="str">
        <f t="shared" si="287"/>
        <v>0.00</v>
      </c>
      <c r="U164" s="38">
        <f t="shared" si="418"/>
        <v>-0.5</v>
      </c>
      <c r="V164" s="38">
        <f t="shared" si="419"/>
        <v>-14.554599999999997</v>
      </c>
      <c r="W164" s="38">
        <f t="shared" si="420"/>
        <v>80.400000000000006</v>
      </c>
      <c r="X164" s="39">
        <f t="shared" si="421"/>
        <v>-0.18102736318407955</v>
      </c>
      <c r="Y164" s="40">
        <f t="shared" si="422"/>
        <v>-0.14554599999999998</v>
      </c>
      <c r="Z164" s="41">
        <f t="shared" si="423"/>
        <v>-1455.4599999999998</v>
      </c>
      <c r="AA164" s="13" t="s">
        <v>57</v>
      </c>
      <c r="AT164" s="37">
        <v>13.1</v>
      </c>
      <c r="AU164" s="37">
        <v>11</v>
      </c>
      <c r="AV164" s="10">
        <f t="shared" si="288"/>
        <v>5.75</v>
      </c>
      <c r="AW164" s="10">
        <f t="shared" si="424"/>
        <v>11.58</v>
      </c>
      <c r="AZ164" t="str">
        <f t="shared" si="425"/>
        <v>Yes</v>
      </c>
      <c r="BB164" s="37">
        <f t="shared" si="426"/>
        <v>-0.5</v>
      </c>
      <c r="BC164" s="37">
        <f t="shared" si="427"/>
        <v>-1</v>
      </c>
      <c r="BD164" s="37">
        <f t="shared" si="428"/>
        <v>-1</v>
      </c>
      <c r="BE164" s="37">
        <f t="shared" si="429"/>
        <v>-0.5</v>
      </c>
      <c r="BF164" s="13" cm="1">
        <f t="array" ref="BF164">SUMPRODUCT((1/COUNTIFS($A$3:$A164,$A$3:$A164,$H$3:$H164,$H$3:$H164,$I$3:$I164,$I$3:$I164)))</f>
        <v>80</v>
      </c>
    </row>
    <row r="165" spans="1:58" x14ac:dyDescent="0.2">
      <c r="A165" s="91">
        <v>46295</v>
      </c>
      <c r="C165" s="37">
        <v>12.07</v>
      </c>
      <c r="D165" s="13" t="s">
        <v>133</v>
      </c>
      <c r="E165" s="13" t="s">
        <v>134</v>
      </c>
      <c r="H165" t="s">
        <v>139</v>
      </c>
      <c r="I165" s="13">
        <v>6</v>
      </c>
      <c r="J165" s="13">
        <v>12</v>
      </c>
      <c r="K165" t="s">
        <v>374</v>
      </c>
      <c r="L165" s="37">
        <v>0.5</v>
      </c>
      <c r="M165" s="37">
        <v>12.5</v>
      </c>
      <c r="N165" s="37">
        <v>13.18</v>
      </c>
      <c r="O165" s="37" t="s">
        <v>17</v>
      </c>
      <c r="Q165" s="13" t="s">
        <v>4</v>
      </c>
      <c r="R165" s="37">
        <v>12.2056</v>
      </c>
      <c r="S165" s="13" t="s">
        <v>136</v>
      </c>
      <c r="T165" s="38" t="str">
        <f t="shared" si="287"/>
        <v>0.00</v>
      </c>
      <c r="U165" s="38">
        <f t="shared" si="418"/>
        <v>-0.5</v>
      </c>
      <c r="V165" s="38">
        <f t="shared" si="419"/>
        <v>-15.054599999999997</v>
      </c>
      <c r="W165" s="38">
        <f t="shared" si="420"/>
        <v>80.900000000000006</v>
      </c>
      <c r="X165" s="39">
        <f t="shared" si="421"/>
        <v>-0.186088998763906</v>
      </c>
      <c r="Y165" s="40">
        <f t="shared" si="422"/>
        <v>-0.15054599999999996</v>
      </c>
      <c r="Z165" s="41">
        <f t="shared" si="423"/>
        <v>-1505.4599999999998</v>
      </c>
      <c r="AA165" s="13" t="s">
        <v>57</v>
      </c>
      <c r="AT165" s="37">
        <v>12.3</v>
      </c>
      <c r="AU165" s="37">
        <v>12</v>
      </c>
      <c r="AV165" s="10">
        <f t="shared" si="288"/>
        <v>6.09</v>
      </c>
      <c r="AW165" s="10">
        <f t="shared" si="424"/>
        <v>12.2056</v>
      </c>
      <c r="AZ165" t="str">
        <f t="shared" si="425"/>
        <v>Yes</v>
      </c>
      <c r="BB165" s="37">
        <f t="shared" si="426"/>
        <v>-0.5</v>
      </c>
      <c r="BC165" s="37">
        <f t="shared" si="427"/>
        <v>-0.5</v>
      </c>
      <c r="BD165" s="37">
        <f t="shared" si="428"/>
        <v>-0.5</v>
      </c>
      <c r="BE165" s="37">
        <f t="shared" si="429"/>
        <v>-0.5</v>
      </c>
      <c r="BF165" s="13" cm="1">
        <f t="array" ref="BF165">SUMPRODUCT((1/COUNTIFS($A$3:$A165,$A$3:$A165,$H$3:$H165,$H$3:$H165,$I$3:$I165,$I$3:$I165)))</f>
        <v>81</v>
      </c>
    </row>
    <row r="166" spans="1:58" x14ac:dyDescent="0.2">
      <c r="A166" s="91">
        <v>46295</v>
      </c>
      <c r="C166" s="37">
        <v>12.07</v>
      </c>
      <c r="D166" s="13" t="s">
        <v>133</v>
      </c>
      <c r="E166" s="13" t="s">
        <v>142</v>
      </c>
      <c r="H166" t="s">
        <v>140</v>
      </c>
      <c r="I166" s="13">
        <v>7</v>
      </c>
      <c r="J166" s="13">
        <v>8</v>
      </c>
      <c r="K166" t="s">
        <v>323</v>
      </c>
      <c r="L166" s="37">
        <v>0.5</v>
      </c>
      <c r="M166" s="37">
        <v>23</v>
      </c>
      <c r="N166" s="37">
        <v>25</v>
      </c>
      <c r="O166" s="37" t="s">
        <v>17</v>
      </c>
      <c r="Q166" s="13" t="s">
        <v>4</v>
      </c>
      <c r="R166" s="37">
        <v>23.080000000000002</v>
      </c>
      <c r="S166" s="13" t="s">
        <v>136</v>
      </c>
      <c r="T166" s="38" t="str">
        <f t="shared" si="287"/>
        <v>0.00</v>
      </c>
      <c r="U166" s="38">
        <f t="shared" si="418"/>
        <v>-0.5</v>
      </c>
      <c r="V166" s="38">
        <f t="shared" si="419"/>
        <v>-15.554599999999997</v>
      </c>
      <c r="W166" s="38">
        <f t="shared" si="420"/>
        <v>81.400000000000006</v>
      </c>
      <c r="X166" s="39">
        <f t="shared" si="421"/>
        <v>-0.19108845208845204</v>
      </c>
      <c r="Y166" s="40">
        <f t="shared" si="422"/>
        <v>-0.15554599999999996</v>
      </c>
      <c r="Z166" s="41">
        <f t="shared" si="423"/>
        <v>-1555.4599999999998</v>
      </c>
      <c r="AA166" s="13" t="s">
        <v>57</v>
      </c>
      <c r="AT166" s="37">
        <v>25.3</v>
      </c>
      <c r="AU166" s="37">
        <v>20</v>
      </c>
      <c r="AV166" s="10">
        <f t="shared" si="288"/>
        <v>12</v>
      </c>
      <c r="AW166" s="10">
        <f t="shared" si="424"/>
        <v>23.080000000000002</v>
      </c>
      <c r="AZ166" t="str">
        <f t="shared" si="425"/>
        <v>Yes</v>
      </c>
      <c r="BB166" s="37">
        <f t="shared" si="426"/>
        <v>-0.5</v>
      </c>
      <c r="BC166" s="37">
        <f t="shared" si="427"/>
        <v>-0.5</v>
      </c>
      <c r="BD166" s="37">
        <f t="shared" si="428"/>
        <v>-0.5</v>
      </c>
      <c r="BE166" s="37">
        <f t="shared" si="429"/>
        <v>-0.5</v>
      </c>
      <c r="BF166" s="13" cm="1">
        <f t="array" ref="BF166">SUMPRODUCT((1/COUNTIFS($A$3:$A166,$A$3:$A166,$H$3:$H166,$H$3:$H166,$I$3:$I166,$I$3:$I166)))</f>
        <v>82</v>
      </c>
    </row>
    <row r="167" spans="1:58" x14ac:dyDescent="0.2">
      <c r="A167" s="91">
        <v>46298</v>
      </c>
      <c r="C167" s="37">
        <v>11.08</v>
      </c>
      <c r="D167" s="13" t="s">
        <v>205</v>
      </c>
      <c r="E167" s="13" t="s">
        <v>134</v>
      </c>
      <c r="H167" t="s">
        <v>138</v>
      </c>
      <c r="I167" s="13">
        <v>1</v>
      </c>
      <c r="J167" s="13">
        <v>6</v>
      </c>
      <c r="K167" t="s">
        <v>378</v>
      </c>
      <c r="L167" s="37">
        <v>0.5</v>
      </c>
      <c r="M167" s="37">
        <v>28</v>
      </c>
      <c r="N167" s="37">
        <v>43.63</v>
      </c>
      <c r="O167" s="37" t="s">
        <v>17</v>
      </c>
      <c r="Q167" s="13" t="s">
        <v>4</v>
      </c>
      <c r="R167" s="37">
        <v>40.219600000000007</v>
      </c>
      <c r="S167" s="13" t="s">
        <v>136</v>
      </c>
      <c r="T167" s="38" t="str">
        <f t="shared" si="287"/>
        <v>0.00</v>
      </c>
      <c r="U167" s="38">
        <f t="shared" ref="U167:U171" si="430">BE167</f>
        <v>-0.5</v>
      </c>
      <c r="V167" s="38">
        <f t="shared" ref="V167:V171" si="431">V166+U167</f>
        <v>-16.054599999999997</v>
      </c>
      <c r="W167" s="38">
        <f t="shared" ref="W167:W171" si="432">W166+L167</f>
        <v>81.900000000000006</v>
      </c>
      <c r="X167" s="39">
        <f t="shared" ref="X167:X171" si="433">SUM(V167/W167)</f>
        <v>-0.19602686202686198</v>
      </c>
      <c r="Y167" s="40">
        <f t="shared" ref="Y167:Y171" si="434">V167/100</f>
        <v>-0.16054599999999997</v>
      </c>
      <c r="Z167" s="41">
        <f t="shared" ref="Z167:Z171" si="435">V167*100</f>
        <v>-1605.4599999999998</v>
      </c>
      <c r="AA167" s="13" t="s">
        <v>57</v>
      </c>
      <c r="AT167" s="37">
        <v>40.299999999999997</v>
      </c>
      <c r="AU167" s="37">
        <v>41</v>
      </c>
      <c r="AV167" s="10">
        <f t="shared" si="288"/>
        <v>21.315000000000001</v>
      </c>
      <c r="AW167" s="10">
        <f t="shared" ref="AW167:AW171" si="436">0.92*(N167-1)+1</f>
        <v>40.219600000000007</v>
      </c>
      <c r="AZ167" t="str">
        <f t="shared" ref="AZ167:AZ171" si="437">IF(N167&gt;=M167,"Yes","No")</f>
        <v>Yes</v>
      </c>
      <c r="BB167" s="37">
        <f t="shared" ref="BB167:BB171" si="438">IF(AA167="W",
   L167*(N167-1),
   -L167
)</f>
        <v>-0.5</v>
      </c>
      <c r="BC167" s="37">
        <f t="shared" si="427"/>
        <v>-0.5</v>
      </c>
      <c r="BD167" s="37">
        <f t="shared" ref="BD167:BD171" si="439">IF(BC167&gt;0, BC167*0.92, BC167)</f>
        <v>-0.5</v>
      </c>
      <c r="BE167" s="37">
        <f t="shared" ref="BE167:BE171" si="440">IF(
  BC167&gt;0,
  IF(
    AA167="W",
    BB167 - (BC167 - BD167),
    BB167
  ),
  BB167
)</f>
        <v>-0.5</v>
      </c>
      <c r="BF167" s="13" cm="1">
        <f t="array" ref="BF167">SUMPRODUCT((1/COUNTIFS($A$3:$A167,$A$3:$A167,$H$3:$H167,$H$3:$H167,$I$3:$I167,$I$3:$I167)))</f>
        <v>83</v>
      </c>
    </row>
    <row r="168" spans="1:58" x14ac:dyDescent="0.2">
      <c r="A168" s="91">
        <v>46298</v>
      </c>
      <c r="C168" s="37">
        <v>11.08</v>
      </c>
      <c r="D168" s="13" t="s">
        <v>205</v>
      </c>
      <c r="E168" s="13" t="s">
        <v>142</v>
      </c>
      <c r="H168" t="s">
        <v>141</v>
      </c>
      <c r="I168" s="13">
        <v>2</v>
      </c>
      <c r="J168" s="13">
        <v>4</v>
      </c>
      <c r="K168" t="s">
        <v>379</v>
      </c>
      <c r="L168" s="37">
        <v>0.5</v>
      </c>
      <c r="M168" s="37">
        <v>25</v>
      </c>
      <c r="N168" s="37">
        <v>32.01</v>
      </c>
      <c r="O168" s="37" t="s">
        <v>17</v>
      </c>
      <c r="Q168" s="13" t="s">
        <v>4</v>
      </c>
      <c r="R168" s="37">
        <v>29.529199999999999</v>
      </c>
      <c r="S168" s="13" t="s">
        <v>136</v>
      </c>
      <c r="T168" s="38" t="str">
        <f t="shared" si="287"/>
        <v>0.00</v>
      </c>
      <c r="U168" s="38">
        <f t="shared" si="430"/>
        <v>-0.5</v>
      </c>
      <c r="V168" s="38">
        <f t="shared" si="431"/>
        <v>-16.554599999999997</v>
      </c>
      <c r="W168" s="38">
        <f t="shared" si="432"/>
        <v>82.4</v>
      </c>
      <c r="X168" s="39">
        <f t="shared" si="433"/>
        <v>-0.2009053398058252</v>
      </c>
      <c r="Y168" s="40">
        <f t="shared" si="434"/>
        <v>-0.16554599999999997</v>
      </c>
      <c r="Z168" s="41">
        <f t="shared" si="435"/>
        <v>-1655.4599999999998</v>
      </c>
      <c r="AA168" s="13" t="s">
        <v>57</v>
      </c>
      <c r="AT168" s="37">
        <v>26</v>
      </c>
      <c r="AU168" s="37">
        <v>26</v>
      </c>
      <c r="AV168" s="10">
        <f t="shared" si="288"/>
        <v>15.504999999999999</v>
      </c>
      <c r="AW168" s="10">
        <f t="shared" si="436"/>
        <v>29.529199999999999</v>
      </c>
      <c r="AZ168" t="str">
        <f t="shared" si="437"/>
        <v>Yes</v>
      </c>
      <c r="BB168" s="37">
        <f t="shared" si="438"/>
        <v>-0.5</v>
      </c>
      <c r="BC168" s="37">
        <f t="shared" si="427"/>
        <v>-0.91599999999999993</v>
      </c>
      <c r="BD168" s="37">
        <f t="shared" si="439"/>
        <v>-0.91599999999999993</v>
      </c>
      <c r="BE168" s="37">
        <f t="shared" si="440"/>
        <v>-0.5</v>
      </c>
      <c r="BF168" s="13" cm="1">
        <f t="array" ref="BF168">SUMPRODUCT((1/COUNTIFS($A$3:$A168,$A$3:$A168,$H$3:$H168,$H$3:$H168,$I$3:$I168,$I$3:$I168)))</f>
        <v>84</v>
      </c>
    </row>
    <row r="169" spans="1:58" x14ac:dyDescent="0.2">
      <c r="A169" s="91">
        <v>46298</v>
      </c>
      <c r="C169" s="37">
        <v>11.08</v>
      </c>
      <c r="D169" s="13" t="s">
        <v>205</v>
      </c>
      <c r="E169" s="13" t="s">
        <v>142</v>
      </c>
      <c r="H169" t="s">
        <v>141</v>
      </c>
      <c r="I169" s="13">
        <v>2</v>
      </c>
      <c r="J169" s="13">
        <v>4</v>
      </c>
      <c r="K169" t="s">
        <v>379</v>
      </c>
      <c r="L169" s="37">
        <v>0.2</v>
      </c>
      <c r="M169" s="37">
        <v>7</v>
      </c>
      <c r="N169" s="37">
        <v>7</v>
      </c>
      <c r="O169" s="37" t="s">
        <v>17</v>
      </c>
      <c r="Q169" s="13" t="s">
        <v>89</v>
      </c>
      <c r="R169" s="37">
        <v>6.5200000000000005</v>
      </c>
      <c r="S169" s="13" t="s">
        <v>136</v>
      </c>
      <c r="T169" s="38" t="str">
        <f t="shared" si="287"/>
        <v>0.00</v>
      </c>
      <c r="U169" s="38">
        <f t="shared" si="430"/>
        <v>-0.2</v>
      </c>
      <c r="V169" s="38">
        <f t="shared" si="431"/>
        <v>-16.754599999999996</v>
      </c>
      <c r="W169" s="38">
        <f t="shared" si="432"/>
        <v>82.600000000000009</v>
      </c>
      <c r="X169" s="39">
        <f t="shared" si="433"/>
        <v>-0.20284019370460041</v>
      </c>
      <c r="Y169" s="40">
        <f t="shared" si="434"/>
        <v>-0.16754599999999997</v>
      </c>
      <c r="Z169" s="41">
        <f t="shared" si="435"/>
        <v>-1675.4599999999996</v>
      </c>
      <c r="AA169" s="13" t="s">
        <v>57</v>
      </c>
      <c r="AT169" s="37">
        <v>4.8</v>
      </c>
      <c r="AU169" s="37">
        <v>4.8</v>
      </c>
      <c r="AV169" s="10">
        <f t="shared" si="288"/>
        <v>1.2000000000000002</v>
      </c>
      <c r="AW169" s="10">
        <f t="shared" si="436"/>
        <v>6.5200000000000005</v>
      </c>
      <c r="AZ169" t="str">
        <f t="shared" si="437"/>
        <v>Yes</v>
      </c>
      <c r="BB169" s="37">
        <f t="shared" si="438"/>
        <v>-0.2</v>
      </c>
      <c r="BC169" s="37">
        <f t="shared" si="427"/>
        <v>-0.91599999999999993</v>
      </c>
      <c r="BD169" s="37">
        <f t="shared" si="439"/>
        <v>-0.91599999999999993</v>
      </c>
      <c r="BE169" s="37">
        <f t="shared" si="440"/>
        <v>-0.2</v>
      </c>
      <c r="BF169" s="13" cm="1">
        <f t="array" ref="BF169">SUMPRODUCT((1/COUNTIFS($A$3:$A169,$A$3:$A169,$H$3:$H169,$H$3:$H169,$I$3:$I169,$I$3:$I169)))</f>
        <v>84</v>
      </c>
    </row>
    <row r="170" spans="1:58" x14ac:dyDescent="0.2">
      <c r="A170" s="91">
        <v>46298</v>
      </c>
      <c r="C170" s="37">
        <v>11.08</v>
      </c>
      <c r="D170" s="13" t="s">
        <v>205</v>
      </c>
      <c r="E170" s="13" t="s">
        <v>142</v>
      </c>
      <c r="H170" t="s">
        <v>141</v>
      </c>
      <c r="I170" s="13">
        <v>2</v>
      </c>
      <c r="J170" s="13">
        <v>5</v>
      </c>
      <c r="K170" s="92" t="s">
        <v>380</v>
      </c>
      <c r="L170" s="37">
        <v>0.5</v>
      </c>
      <c r="M170" s="37">
        <v>8</v>
      </c>
      <c r="N170" s="37">
        <v>9.48</v>
      </c>
      <c r="O170" s="37" t="s">
        <v>17</v>
      </c>
      <c r="Q170" s="13" t="s">
        <v>4</v>
      </c>
      <c r="R170" s="37">
        <v>8.8016000000000005</v>
      </c>
      <c r="S170" s="13">
        <v>3</v>
      </c>
      <c r="T170" s="38" t="str">
        <f t="shared" si="287"/>
        <v>0.00</v>
      </c>
      <c r="U170" s="38">
        <f t="shared" si="430"/>
        <v>-0.5</v>
      </c>
      <c r="V170" s="38">
        <f t="shared" si="431"/>
        <v>-17.254599999999996</v>
      </c>
      <c r="W170" s="38">
        <f t="shared" si="432"/>
        <v>83.100000000000009</v>
      </c>
      <c r="X170" s="39">
        <f t="shared" si="433"/>
        <v>-0.20763658243080618</v>
      </c>
      <c r="Y170" s="40">
        <f t="shared" si="434"/>
        <v>-0.17254599999999998</v>
      </c>
      <c r="Z170" s="41">
        <f t="shared" si="435"/>
        <v>-1725.4599999999996</v>
      </c>
      <c r="AA170" s="13" t="s">
        <v>57</v>
      </c>
      <c r="AT170" s="37">
        <v>9.5</v>
      </c>
      <c r="AU170" s="37">
        <v>8</v>
      </c>
      <c r="AV170" s="10">
        <f t="shared" si="288"/>
        <v>4.24</v>
      </c>
      <c r="AW170" s="10">
        <f t="shared" si="436"/>
        <v>8.8016000000000005</v>
      </c>
      <c r="AZ170" t="str">
        <f t="shared" si="437"/>
        <v>Yes</v>
      </c>
      <c r="BB170" s="37">
        <f t="shared" si="438"/>
        <v>-0.5</v>
      </c>
      <c r="BC170" s="37">
        <f t="shared" si="427"/>
        <v>-0.91599999999999993</v>
      </c>
      <c r="BD170" s="37">
        <f t="shared" si="439"/>
        <v>-0.91599999999999993</v>
      </c>
      <c r="BE170" s="37">
        <f t="shared" si="440"/>
        <v>-0.5</v>
      </c>
      <c r="BF170" s="13" cm="1">
        <f t="array" ref="BF170">SUMPRODUCT((1/COUNTIFS($A$3:$A170,$A$3:$A170,$H$3:$H170,$H$3:$H170,$I$3:$I170,$I$3:$I170)))</f>
        <v>83.999999999999986</v>
      </c>
    </row>
    <row r="171" spans="1:58" x14ac:dyDescent="0.2">
      <c r="A171" s="91">
        <v>46298</v>
      </c>
      <c r="C171" s="37">
        <v>11.08</v>
      </c>
      <c r="D171" s="13" t="s">
        <v>205</v>
      </c>
      <c r="E171" s="13" t="s">
        <v>142</v>
      </c>
      <c r="H171" t="s">
        <v>141</v>
      </c>
      <c r="I171" s="13">
        <v>2</v>
      </c>
      <c r="J171" s="13">
        <v>5</v>
      </c>
      <c r="K171" s="101" t="s">
        <v>380</v>
      </c>
      <c r="L171" s="37">
        <v>0.2</v>
      </c>
      <c r="M171" s="37">
        <v>2.42</v>
      </c>
      <c r="N171" s="37">
        <v>2.42</v>
      </c>
      <c r="O171" s="37" t="s">
        <v>17</v>
      </c>
      <c r="Q171" s="13" t="s">
        <v>89</v>
      </c>
      <c r="R171" s="37">
        <v>2.3064</v>
      </c>
      <c r="S171" s="13">
        <v>3</v>
      </c>
      <c r="T171" s="38">
        <f t="shared" si="287"/>
        <v>0.46</v>
      </c>
      <c r="U171" s="38">
        <f t="shared" si="430"/>
        <v>0.28399999999999997</v>
      </c>
      <c r="V171" s="38">
        <f t="shared" si="431"/>
        <v>-16.970599999999997</v>
      </c>
      <c r="W171" s="38">
        <f t="shared" si="432"/>
        <v>83.300000000000011</v>
      </c>
      <c r="X171" s="39">
        <f t="shared" si="433"/>
        <v>-0.20372869147659059</v>
      </c>
      <c r="Y171" s="40">
        <f t="shared" si="434"/>
        <v>-0.16970599999999997</v>
      </c>
      <c r="Z171" s="41">
        <f t="shared" si="435"/>
        <v>-1697.0599999999997</v>
      </c>
      <c r="AA171" s="13" t="s">
        <v>206</v>
      </c>
      <c r="AT171" s="37">
        <v>2.2000000000000002</v>
      </c>
      <c r="AU171" s="37">
        <v>2.2000000000000002</v>
      </c>
      <c r="AV171" s="10">
        <f t="shared" si="288"/>
        <v>0.28399999999999997</v>
      </c>
      <c r="AW171" s="10">
        <f t="shared" si="436"/>
        <v>2.3064</v>
      </c>
      <c r="AZ171" t="str">
        <f t="shared" si="437"/>
        <v>Yes</v>
      </c>
      <c r="BB171" s="37">
        <f t="shared" si="438"/>
        <v>0.28399999999999997</v>
      </c>
      <c r="BC171" s="37">
        <f t="shared" si="427"/>
        <v>-0.91599999999999993</v>
      </c>
      <c r="BD171" s="37">
        <f t="shared" si="439"/>
        <v>-0.91599999999999993</v>
      </c>
      <c r="BE171" s="37">
        <f t="shared" si="440"/>
        <v>0.28399999999999997</v>
      </c>
      <c r="BF171" s="13" cm="1">
        <f t="array" ref="BF171">SUMPRODUCT((1/COUNTIFS($A$3:$A171,$A$3:$A171,$H$3:$H171,$H$3:$H171,$I$3:$I171,$I$3:$I171)))</f>
        <v>84</v>
      </c>
    </row>
    <row r="172" spans="1:58" x14ac:dyDescent="0.2">
      <c r="A172" s="91">
        <v>46298</v>
      </c>
      <c r="C172" s="37">
        <v>11.08</v>
      </c>
      <c r="D172" s="13" t="s">
        <v>205</v>
      </c>
      <c r="E172" s="13" t="s">
        <v>142</v>
      </c>
      <c r="H172" t="s">
        <v>141</v>
      </c>
      <c r="I172" s="13">
        <v>3</v>
      </c>
      <c r="J172" s="13">
        <v>2</v>
      </c>
      <c r="K172" t="s">
        <v>382</v>
      </c>
      <c r="L172" s="37">
        <v>0.5</v>
      </c>
      <c r="M172" s="37">
        <v>9</v>
      </c>
      <c r="N172" s="37">
        <v>9.4</v>
      </c>
      <c r="O172" s="37" t="s">
        <v>17</v>
      </c>
      <c r="Q172" s="13" t="s">
        <v>4</v>
      </c>
      <c r="R172" s="37">
        <v>8.7280000000000015</v>
      </c>
      <c r="S172" s="13" t="s">
        <v>136</v>
      </c>
      <c r="T172" s="38" t="str">
        <f t="shared" si="287"/>
        <v>0.00</v>
      </c>
      <c r="U172" s="38">
        <f t="shared" ref="U172:U177" si="441">BE172</f>
        <v>-0.5</v>
      </c>
      <c r="V172" s="38">
        <f t="shared" ref="V172:V177" si="442">V171+U172</f>
        <v>-17.470599999999997</v>
      </c>
      <c r="W172" s="38">
        <f t="shared" ref="W172:W177" si="443">W171+L172</f>
        <v>83.800000000000011</v>
      </c>
      <c r="X172" s="39">
        <f t="shared" ref="X172:X177" si="444">SUM(V172/W172)</f>
        <v>-0.20847971360381856</v>
      </c>
      <c r="Y172" s="40">
        <f t="shared" ref="Y172:Y177" si="445">V172/100</f>
        <v>-0.17470599999999997</v>
      </c>
      <c r="Z172" s="41">
        <f t="shared" ref="Z172:Z177" si="446">V172*100</f>
        <v>-1747.0599999999997</v>
      </c>
      <c r="AA172" s="13" t="s">
        <v>57</v>
      </c>
      <c r="AT172" s="37">
        <v>9</v>
      </c>
      <c r="AU172" s="37">
        <v>8.5</v>
      </c>
      <c r="AV172" s="10">
        <f t="shared" si="288"/>
        <v>4.2</v>
      </c>
      <c r="AW172" s="10">
        <f t="shared" ref="AW172:AW177" si="447">0.92*(N172-1)+1</f>
        <v>8.7280000000000015</v>
      </c>
      <c r="AZ172" t="str">
        <f t="shared" ref="AZ172:AZ177" si="448">IF(N172&gt;=M172,"Yes","No")</f>
        <v>Yes</v>
      </c>
      <c r="BB172" s="37">
        <f t="shared" ref="BB172:BB177" si="449">IF(AA172="W",
   L172*(N172-1),
   -L172
)</f>
        <v>-0.5</v>
      </c>
      <c r="BC172" s="37">
        <f t="shared" si="427"/>
        <v>3.492</v>
      </c>
      <c r="BD172" s="37">
        <f t="shared" ref="BD172:BD177" si="450">IF(BC172&gt;0, BC172*0.92, BC172)</f>
        <v>3.2126399999999999</v>
      </c>
      <c r="BE172" s="37">
        <f t="shared" ref="BE172:BE177" si="451">IF(
  BC172&gt;0,
  IF(
    AA172="W",
    BB172 - (BC172 - BD172),
    BB172
  ),
  BB172
)</f>
        <v>-0.5</v>
      </c>
      <c r="BF172" s="13" cm="1">
        <f t="array" ref="BF172">SUMPRODUCT((1/COUNTIFS($A$3:$A172,$A$3:$A172,$H$3:$H172,$H$3:$H172,$I$3:$I172,$I$3:$I172)))</f>
        <v>85</v>
      </c>
    </row>
    <row r="173" spans="1:58" x14ac:dyDescent="0.2">
      <c r="A173" s="91">
        <v>46298</v>
      </c>
      <c r="C173" s="37">
        <v>11.08</v>
      </c>
      <c r="D173" s="13" t="s">
        <v>205</v>
      </c>
      <c r="E173" s="13" t="s">
        <v>142</v>
      </c>
      <c r="H173" t="s">
        <v>141</v>
      </c>
      <c r="I173" s="13">
        <v>3</v>
      </c>
      <c r="J173" s="13">
        <v>4</v>
      </c>
      <c r="K173" s="101" t="s">
        <v>383</v>
      </c>
      <c r="L173" s="37">
        <v>0.5</v>
      </c>
      <c r="M173" s="37">
        <v>9.8000000000000007</v>
      </c>
      <c r="N173" s="37">
        <v>9.8000000000000007</v>
      </c>
      <c r="O173" s="37" t="s">
        <v>17</v>
      </c>
      <c r="Q173" s="13" t="s">
        <v>4</v>
      </c>
      <c r="R173" s="37">
        <v>9.0960000000000019</v>
      </c>
      <c r="S173" s="13">
        <v>1</v>
      </c>
      <c r="T173" s="38">
        <f t="shared" si="287"/>
        <v>4.55</v>
      </c>
      <c r="U173" s="38">
        <f t="shared" si="441"/>
        <v>4.1206399999999999</v>
      </c>
      <c r="V173" s="38">
        <f t="shared" si="442"/>
        <v>-13.349959999999998</v>
      </c>
      <c r="W173" s="38">
        <f t="shared" si="443"/>
        <v>84.300000000000011</v>
      </c>
      <c r="X173" s="39">
        <f t="shared" si="444"/>
        <v>-0.15836251482799521</v>
      </c>
      <c r="Y173" s="40">
        <f t="shared" si="445"/>
        <v>-0.13349959999999997</v>
      </c>
      <c r="Z173" s="41">
        <f t="shared" si="446"/>
        <v>-1334.9959999999999</v>
      </c>
      <c r="AA173" s="13" t="s">
        <v>206</v>
      </c>
      <c r="AT173" s="37">
        <v>8.6</v>
      </c>
      <c r="AU173" s="37">
        <v>8</v>
      </c>
      <c r="AV173" s="10">
        <f t="shared" si="288"/>
        <v>4.4000000000000004</v>
      </c>
      <c r="AW173" s="10">
        <f t="shared" si="447"/>
        <v>9.0960000000000019</v>
      </c>
      <c r="AZ173" t="str">
        <f t="shared" si="448"/>
        <v>Yes</v>
      </c>
      <c r="BB173" s="37">
        <f t="shared" si="449"/>
        <v>4.4000000000000004</v>
      </c>
      <c r="BC173" s="37">
        <f t="shared" si="427"/>
        <v>3.492</v>
      </c>
      <c r="BD173" s="37">
        <f t="shared" si="450"/>
        <v>3.2126399999999999</v>
      </c>
      <c r="BE173" s="37">
        <f t="shared" si="451"/>
        <v>4.1206399999999999</v>
      </c>
      <c r="BF173" s="13" cm="1">
        <f t="array" ref="BF173">SUMPRODUCT((1/COUNTIFS($A$3:$A173,$A$3:$A173,$H$3:$H173,$H$3:$H173,$I$3:$I173,$I$3:$I173)))</f>
        <v>85</v>
      </c>
    </row>
    <row r="174" spans="1:58" x14ac:dyDescent="0.2">
      <c r="A174" s="91">
        <v>46298</v>
      </c>
      <c r="C174" s="37">
        <v>11.08</v>
      </c>
      <c r="D174" s="13" t="s">
        <v>205</v>
      </c>
      <c r="E174" s="13" t="s">
        <v>142</v>
      </c>
      <c r="H174" t="s">
        <v>141</v>
      </c>
      <c r="I174" s="13">
        <v>3</v>
      </c>
      <c r="J174" s="13">
        <v>10</v>
      </c>
      <c r="K174" t="s">
        <v>384</v>
      </c>
      <c r="L174" s="37">
        <v>0.5</v>
      </c>
      <c r="M174" s="37">
        <v>15</v>
      </c>
      <c r="N174" s="37">
        <v>32.06</v>
      </c>
      <c r="O174" s="37" t="s">
        <v>17</v>
      </c>
      <c r="Q174" s="13" t="s">
        <v>4</v>
      </c>
      <c r="R174" s="37">
        <v>29.575200000000002</v>
      </c>
      <c r="S174" s="13" t="s">
        <v>136</v>
      </c>
      <c r="T174" s="38" t="str">
        <f t="shared" si="287"/>
        <v>0.00</v>
      </c>
      <c r="U174" s="38">
        <f t="shared" si="441"/>
        <v>-0.5</v>
      </c>
      <c r="V174" s="38">
        <f t="shared" si="442"/>
        <v>-13.849959999999998</v>
      </c>
      <c r="W174" s="38">
        <f t="shared" si="443"/>
        <v>84.800000000000011</v>
      </c>
      <c r="X174" s="39">
        <f t="shared" si="444"/>
        <v>-0.16332499999999994</v>
      </c>
      <c r="Y174" s="40">
        <f t="shared" si="445"/>
        <v>-0.13849959999999997</v>
      </c>
      <c r="Z174" s="41">
        <f t="shared" si="446"/>
        <v>-1384.9959999999999</v>
      </c>
      <c r="AA174" s="13" t="s">
        <v>57</v>
      </c>
      <c r="AT174" s="37">
        <v>21.3</v>
      </c>
      <c r="AU174" s="37">
        <v>21</v>
      </c>
      <c r="AV174" s="10">
        <f t="shared" si="288"/>
        <v>15.530000000000001</v>
      </c>
      <c r="AW174" s="10">
        <f t="shared" si="447"/>
        <v>29.575200000000002</v>
      </c>
      <c r="AZ174" t="str">
        <f t="shared" si="448"/>
        <v>Yes</v>
      </c>
      <c r="BB174" s="37">
        <f t="shared" si="449"/>
        <v>-0.5</v>
      </c>
      <c r="BC174" s="37">
        <f t="shared" si="427"/>
        <v>3.492</v>
      </c>
      <c r="BD174" s="37">
        <f t="shared" si="450"/>
        <v>3.2126399999999999</v>
      </c>
      <c r="BE174" s="37">
        <f t="shared" si="451"/>
        <v>-0.5</v>
      </c>
      <c r="BF174" s="13" cm="1">
        <f t="array" ref="BF174">SUMPRODUCT((1/COUNTIFS($A$3:$A174,$A$3:$A174,$H$3:$H174,$H$3:$H174,$I$3:$I174,$I$3:$I174)))</f>
        <v>84.999999999999986</v>
      </c>
    </row>
    <row r="175" spans="1:58" x14ac:dyDescent="0.2">
      <c r="A175" s="91">
        <v>46298</v>
      </c>
      <c r="C175" s="37">
        <v>11.08</v>
      </c>
      <c r="D175" s="13" t="s">
        <v>205</v>
      </c>
      <c r="E175" s="13" t="s">
        <v>142</v>
      </c>
      <c r="H175" t="s">
        <v>141</v>
      </c>
      <c r="I175" s="13">
        <v>3</v>
      </c>
      <c r="J175" s="13">
        <v>10</v>
      </c>
      <c r="K175" t="s">
        <v>384</v>
      </c>
      <c r="L175" s="37">
        <v>0.2</v>
      </c>
      <c r="M175" s="37">
        <v>3.85</v>
      </c>
      <c r="N175" s="37">
        <v>5.21</v>
      </c>
      <c r="O175" s="37" t="s">
        <v>17</v>
      </c>
      <c r="Q175" s="13" t="s">
        <v>89</v>
      </c>
      <c r="R175" s="37">
        <v>4.8732000000000006</v>
      </c>
      <c r="S175" s="13" t="s">
        <v>136</v>
      </c>
      <c r="T175" s="38" t="str">
        <f t="shared" si="287"/>
        <v>0.00</v>
      </c>
      <c r="U175" s="38">
        <f t="shared" si="441"/>
        <v>-0.2</v>
      </c>
      <c r="V175" s="38">
        <f t="shared" si="442"/>
        <v>-14.049959999999997</v>
      </c>
      <c r="W175" s="38">
        <f t="shared" si="443"/>
        <v>85.000000000000014</v>
      </c>
      <c r="X175" s="39">
        <f t="shared" si="444"/>
        <v>-0.16529364705882346</v>
      </c>
      <c r="Y175" s="40">
        <f t="shared" si="445"/>
        <v>-0.14049959999999997</v>
      </c>
      <c r="Z175" s="41">
        <f t="shared" si="446"/>
        <v>-1404.9959999999996</v>
      </c>
      <c r="AA175" s="13" t="s">
        <v>57</v>
      </c>
      <c r="AT175" s="37">
        <v>4.2</v>
      </c>
      <c r="AU175" s="37">
        <v>4.2</v>
      </c>
      <c r="AV175" s="10">
        <f t="shared" si="288"/>
        <v>0.84200000000000008</v>
      </c>
      <c r="AW175" s="10">
        <f t="shared" si="447"/>
        <v>4.8732000000000006</v>
      </c>
      <c r="AZ175" t="str">
        <f t="shared" si="448"/>
        <v>Yes</v>
      </c>
      <c r="BB175" s="37">
        <f t="shared" si="449"/>
        <v>-0.2</v>
      </c>
      <c r="BC175" s="37">
        <f t="shared" si="427"/>
        <v>3.492</v>
      </c>
      <c r="BD175" s="37">
        <f t="shared" si="450"/>
        <v>3.2126399999999999</v>
      </c>
      <c r="BE175" s="37">
        <f t="shared" si="451"/>
        <v>-0.2</v>
      </c>
      <c r="BF175" s="13" cm="1">
        <f t="array" ref="BF175">SUMPRODUCT((1/COUNTIFS($A$3:$A175,$A$3:$A175,$H$3:$H175,$H$3:$H175,$I$3:$I175,$I$3:$I175)))</f>
        <v>85</v>
      </c>
    </row>
    <row r="176" spans="1:58" x14ac:dyDescent="0.2">
      <c r="A176" s="91">
        <v>46298</v>
      </c>
      <c r="C176" s="37">
        <v>11.08</v>
      </c>
      <c r="D176" s="13" t="s">
        <v>205</v>
      </c>
      <c r="E176" s="13" t="s">
        <v>142</v>
      </c>
      <c r="H176" t="s">
        <v>141</v>
      </c>
      <c r="I176" s="13">
        <v>3</v>
      </c>
      <c r="J176" s="13">
        <v>12</v>
      </c>
      <c r="K176" s="92" t="s">
        <v>280</v>
      </c>
      <c r="L176" s="37">
        <v>0.5</v>
      </c>
      <c r="M176" s="37">
        <v>16</v>
      </c>
      <c r="N176" s="37">
        <v>26</v>
      </c>
      <c r="O176" s="37" t="s">
        <v>17</v>
      </c>
      <c r="Q176" s="13" t="s">
        <v>4</v>
      </c>
      <c r="R176" s="37">
        <v>24</v>
      </c>
      <c r="S176" s="13">
        <v>3</v>
      </c>
      <c r="T176" s="38" t="str">
        <f t="shared" si="287"/>
        <v>0.00</v>
      </c>
      <c r="U176" s="38">
        <f t="shared" si="441"/>
        <v>-0.5</v>
      </c>
      <c r="V176" s="38">
        <f t="shared" si="442"/>
        <v>-14.549959999999997</v>
      </c>
      <c r="W176" s="38">
        <f t="shared" si="443"/>
        <v>85.500000000000014</v>
      </c>
      <c r="X176" s="39">
        <f t="shared" si="444"/>
        <v>-0.17017497076023386</v>
      </c>
      <c r="Y176" s="40">
        <f t="shared" si="445"/>
        <v>-0.14549959999999998</v>
      </c>
      <c r="Z176" s="41">
        <f t="shared" si="446"/>
        <v>-1454.9959999999996</v>
      </c>
      <c r="AA176" s="13" t="s">
        <v>57</v>
      </c>
      <c r="AT176" s="37">
        <v>19.399999999999999</v>
      </c>
      <c r="AU176" s="37">
        <v>19</v>
      </c>
      <c r="AV176" s="10">
        <f t="shared" si="288"/>
        <v>12.5</v>
      </c>
      <c r="AW176" s="10">
        <f t="shared" si="447"/>
        <v>24</v>
      </c>
      <c r="AZ176" t="str">
        <f t="shared" si="448"/>
        <v>Yes</v>
      </c>
      <c r="BB176" s="37">
        <f t="shared" si="449"/>
        <v>-0.5</v>
      </c>
      <c r="BC176" s="37">
        <f t="shared" si="427"/>
        <v>3.492</v>
      </c>
      <c r="BD176" s="37">
        <f t="shared" si="450"/>
        <v>3.2126399999999999</v>
      </c>
      <c r="BE176" s="37">
        <f t="shared" si="451"/>
        <v>-0.5</v>
      </c>
      <c r="BF176" s="13" cm="1">
        <f t="array" ref="BF176">SUMPRODUCT((1/COUNTIFS($A$3:$A176,$A$3:$A176,$H$3:$H176,$H$3:$H176,$I$3:$I176,$I$3:$I176)))</f>
        <v>85.000000000000014</v>
      </c>
    </row>
    <row r="177" spans="1:58" x14ac:dyDescent="0.2">
      <c r="A177" s="91">
        <v>46298</v>
      </c>
      <c r="C177" s="37">
        <v>11.08</v>
      </c>
      <c r="D177" s="13" t="s">
        <v>205</v>
      </c>
      <c r="E177" s="13" t="s">
        <v>142</v>
      </c>
      <c r="H177" t="s">
        <v>141</v>
      </c>
      <c r="I177" s="13">
        <v>3</v>
      </c>
      <c r="J177" s="13">
        <v>12</v>
      </c>
      <c r="K177" s="101" t="s">
        <v>280</v>
      </c>
      <c r="L177" s="37">
        <v>0.2</v>
      </c>
      <c r="M177" s="37">
        <v>4.0999999999999996</v>
      </c>
      <c r="N177" s="37">
        <v>4.96</v>
      </c>
      <c r="O177" s="37" t="s">
        <v>17</v>
      </c>
      <c r="Q177" s="13" t="s">
        <v>89</v>
      </c>
      <c r="R177" s="37">
        <v>4.6432000000000002</v>
      </c>
      <c r="S177" s="13">
        <v>3</v>
      </c>
      <c r="T177" s="38">
        <f t="shared" si="287"/>
        <v>0.93</v>
      </c>
      <c r="U177" s="38">
        <f t="shared" si="441"/>
        <v>0.51263999999999998</v>
      </c>
      <c r="V177" s="38">
        <f t="shared" si="442"/>
        <v>-14.037319999999998</v>
      </c>
      <c r="W177" s="38">
        <f t="shared" si="443"/>
        <v>85.700000000000017</v>
      </c>
      <c r="X177" s="39">
        <f t="shared" si="444"/>
        <v>-0.16379603267211196</v>
      </c>
      <c r="Y177" s="40">
        <f t="shared" si="445"/>
        <v>-0.14037319999999998</v>
      </c>
      <c r="Z177" s="41">
        <f t="shared" si="446"/>
        <v>-1403.7319999999997</v>
      </c>
      <c r="AA177" s="13" t="s">
        <v>206</v>
      </c>
      <c r="AT177" s="37">
        <v>3.9</v>
      </c>
      <c r="AU177" s="37">
        <v>3.9</v>
      </c>
      <c r="AV177" s="10">
        <f t="shared" si="288"/>
        <v>0.79200000000000004</v>
      </c>
      <c r="AW177" s="10">
        <f t="shared" si="447"/>
        <v>4.6432000000000002</v>
      </c>
      <c r="AZ177" t="str">
        <f t="shared" si="448"/>
        <v>Yes</v>
      </c>
      <c r="BB177" s="37">
        <f t="shared" si="449"/>
        <v>0.79200000000000004</v>
      </c>
      <c r="BC177" s="37">
        <f t="shared" si="427"/>
        <v>3.492</v>
      </c>
      <c r="BD177" s="37">
        <f t="shared" si="450"/>
        <v>3.2126399999999999</v>
      </c>
      <c r="BE177" s="37">
        <f t="shared" si="451"/>
        <v>0.51263999999999998</v>
      </c>
      <c r="BF177" s="13" cm="1">
        <f t="array" ref="BF177">SUMPRODUCT((1/COUNTIFS($A$3:$A177,$A$3:$A177,$H$3:$H177,$H$3:$H177,$I$3:$I177,$I$3:$I177)))</f>
        <v>85.000000000000028</v>
      </c>
    </row>
    <row r="178" spans="1:58" x14ac:dyDescent="0.2">
      <c r="A178" s="91">
        <v>46298</v>
      </c>
      <c r="C178" s="37">
        <v>11.08</v>
      </c>
      <c r="D178" s="13" t="s">
        <v>205</v>
      </c>
      <c r="E178" s="13" t="s">
        <v>142</v>
      </c>
      <c r="H178" t="s">
        <v>141</v>
      </c>
      <c r="I178" s="13">
        <v>4</v>
      </c>
      <c r="J178" s="13">
        <v>2</v>
      </c>
      <c r="K178" t="s">
        <v>386</v>
      </c>
      <c r="L178" s="37">
        <v>0.5</v>
      </c>
      <c r="M178" s="37">
        <v>18</v>
      </c>
      <c r="N178" s="37">
        <v>18</v>
      </c>
      <c r="O178" s="37" t="s">
        <v>17</v>
      </c>
      <c r="Q178" s="13" t="s">
        <v>4</v>
      </c>
      <c r="R178" s="37">
        <v>16.64</v>
      </c>
      <c r="S178" s="13" t="s">
        <v>136</v>
      </c>
      <c r="T178" s="38" t="str">
        <f t="shared" si="287"/>
        <v>0.00</v>
      </c>
      <c r="U178" s="38">
        <f t="shared" ref="U178:U179" si="452">BE178</f>
        <v>-0.5</v>
      </c>
      <c r="V178" s="38">
        <f t="shared" ref="V178:V179" si="453">V177+U178</f>
        <v>-14.537319999999998</v>
      </c>
      <c r="W178" s="38">
        <f t="shared" ref="W178:W179" si="454">W177+L178</f>
        <v>86.200000000000017</v>
      </c>
      <c r="X178" s="39">
        <f t="shared" ref="X178:X179" si="455">SUM(V178/W178)</f>
        <v>-0.16864640371229692</v>
      </c>
      <c r="Y178" s="40">
        <f t="shared" ref="Y178:Y179" si="456">V178/100</f>
        <v>-0.14537319999999998</v>
      </c>
      <c r="Z178" s="41">
        <f t="shared" ref="Z178:Z179" si="457">V178*100</f>
        <v>-1453.7319999999997</v>
      </c>
      <c r="AA178" s="13" t="s">
        <v>57</v>
      </c>
      <c r="AT178" s="37">
        <v>14</v>
      </c>
      <c r="AU178" s="37">
        <v>14</v>
      </c>
      <c r="AV178" s="10">
        <f t="shared" si="288"/>
        <v>8.5</v>
      </c>
      <c r="AW178" s="10">
        <f t="shared" ref="AW178:AW184" si="458">0.92*(N178-1)+1</f>
        <v>16.64</v>
      </c>
      <c r="AZ178" t="str">
        <f t="shared" ref="AZ178:AZ184" si="459">IF(N178&gt;=M178,"Yes","No")</f>
        <v>Yes</v>
      </c>
      <c r="BB178" s="37">
        <f t="shared" ref="BB178:BB184" si="460">IF(AA178="W",
   L178*(N178-1),
   -L178
)</f>
        <v>-0.5</v>
      </c>
      <c r="BC178" s="37">
        <f t="shared" si="427"/>
        <v>-1</v>
      </c>
      <c r="BD178" s="37">
        <f t="shared" ref="BD178:BD184" si="461">IF(BC178&gt;0, BC178*0.92, BC178)</f>
        <v>-1</v>
      </c>
      <c r="BE178" s="37">
        <f t="shared" ref="BE178:BE184" si="462">IF(
  BC178&gt;0,
  IF(
    AA178="W",
    BB178 - (BC178 - BD178),
    BB178
  ),
  BB178
)</f>
        <v>-0.5</v>
      </c>
      <c r="BF178" s="13" cm="1">
        <f t="array" ref="BF178">SUMPRODUCT((1/COUNTIFS($A$3:$A178,$A$3:$A178,$H$3:$H178,$H$3:$H178,$I$3:$I178,$I$3:$I178)))</f>
        <v>86.000000000000028</v>
      </c>
    </row>
    <row r="179" spans="1:58" x14ac:dyDescent="0.2">
      <c r="A179" s="91">
        <v>46298</v>
      </c>
      <c r="C179" s="37">
        <v>11.08</v>
      </c>
      <c r="D179" s="13" t="s">
        <v>205</v>
      </c>
      <c r="E179" s="13" t="s">
        <v>142</v>
      </c>
      <c r="H179" t="s">
        <v>141</v>
      </c>
      <c r="I179" s="13">
        <v>4</v>
      </c>
      <c r="J179" s="13">
        <v>5</v>
      </c>
      <c r="K179" s="98" t="s">
        <v>387</v>
      </c>
      <c r="L179" s="37">
        <v>0.5</v>
      </c>
      <c r="M179" s="37">
        <v>13</v>
      </c>
      <c r="N179" s="37">
        <v>13.37</v>
      </c>
      <c r="O179" s="37" t="s">
        <v>17</v>
      </c>
      <c r="Q179" s="13" t="s">
        <v>4</v>
      </c>
      <c r="R179" s="37">
        <v>12.3804</v>
      </c>
      <c r="S179" s="13">
        <v>4</v>
      </c>
      <c r="T179" s="38" t="str">
        <f t="shared" si="287"/>
        <v>0.00</v>
      </c>
      <c r="U179" s="38">
        <f t="shared" si="452"/>
        <v>-0.5</v>
      </c>
      <c r="V179" s="38">
        <f t="shared" si="453"/>
        <v>-15.037319999999998</v>
      </c>
      <c r="W179" s="38">
        <f t="shared" si="454"/>
        <v>86.700000000000017</v>
      </c>
      <c r="X179" s="39">
        <f t="shared" si="455"/>
        <v>-0.17344083044982692</v>
      </c>
      <c r="Y179" s="40">
        <f t="shared" si="456"/>
        <v>-0.15037319999999998</v>
      </c>
      <c r="Z179" s="41">
        <f t="shared" si="457"/>
        <v>-1503.7319999999997</v>
      </c>
      <c r="AA179" s="13" t="s">
        <v>57</v>
      </c>
      <c r="AT179" s="37">
        <v>12</v>
      </c>
      <c r="AU179" s="37">
        <v>12</v>
      </c>
      <c r="AV179" s="10">
        <f t="shared" si="288"/>
        <v>6.1849999999999996</v>
      </c>
      <c r="AW179" s="10">
        <f t="shared" si="458"/>
        <v>12.3804</v>
      </c>
      <c r="AZ179" t="str">
        <f t="shared" si="459"/>
        <v>Yes</v>
      </c>
      <c r="BB179" s="37">
        <f t="shared" si="460"/>
        <v>-0.5</v>
      </c>
      <c r="BC179" s="37">
        <f t="shared" si="427"/>
        <v>-1</v>
      </c>
      <c r="BD179" s="37">
        <f t="shared" si="461"/>
        <v>-1</v>
      </c>
      <c r="BE179" s="37">
        <f t="shared" si="462"/>
        <v>-0.5</v>
      </c>
      <c r="BF179" s="13" cm="1">
        <f t="array" ref="BF179">SUMPRODUCT((1/COUNTIFS($A$3:$A179,$A$3:$A179,$H$3:$H179,$H$3:$H179,$I$3:$I179,$I$3:$I179)))</f>
        <v>86.000000000000028</v>
      </c>
    </row>
    <row r="180" spans="1:58" x14ac:dyDescent="0.2">
      <c r="A180" s="91">
        <v>46298</v>
      </c>
      <c r="C180" s="37">
        <v>11.08</v>
      </c>
      <c r="D180" s="13" t="s">
        <v>205</v>
      </c>
      <c r="E180" s="13" t="s">
        <v>142</v>
      </c>
      <c r="H180" t="s">
        <v>141</v>
      </c>
      <c r="I180" s="13">
        <v>5</v>
      </c>
      <c r="J180" s="13">
        <v>4</v>
      </c>
      <c r="K180" t="s">
        <v>388</v>
      </c>
      <c r="L180" s="37">
        <v>0.5</v>
      </c>
      <c r="M180" s="37">
        <v>8.6</v>
      </c>
      <c r="N180" s="37">
        <v>8.6</v>
      </c>
      <c r="O180" s="37" t="s">
        <v>17</v>
      </c>
      <c r="Q180" s="13" t="s">
        <v>4</v>
      </c>
      <c r="R180" s="37">
        <v>7.992</v>
      </c>
      <c r="S180" s="13" t="s">
        <v>136</v>
      </c>
      <c r="T180" s="38" t="str">
        <f t="shared" si="287"/>
        <v>0.00</v>
      </c>
      <c r="U180" s="38">
        <f t="shared" ref="U180:U184" si="463">BE180</f>
        <v>-0.5</v>
      </c>
      <c r="V180" s="38">
        <f t="shared" ref="V180:V184" si="464">V179+U180</f>
        <v>-15.537319999999998</v>
      </c>
      <c r="W180" s="38">
        <f t="shared" ref="W180:W184" si="465">W179+L180</f>
        <v>87.200000000000017</v>
      </c>
      <c r="X180" s="39">
        <f t="shared" ref="X180:X184" si="466">SUM(V180/W180)</f>
        <v>-0.17818027522935773</v>
      </c>
      <c r="Y180" s="40">
        <f t="shared" ref="Y180:Y184" si="467">V180/100</f>
        <v>-0.15537319999999999</v>
      </c>
      <c r="Z180" s="41">
        <f t="shared" ref="Z180:Z184" si="468">V180*100</f>
        <v>-1553.7319999999997</v>
      </c>
      <c r="AA180" s="13" t="s">
        <v>57</v>
      </c>
      <c r="AT180" s="37">
        <v>7.3</v>
      </c>
      <c r="AU180" s="37">
        <v>7</v>
      </c>
      <c r="AV180" s="10">
        <f t="shared" si="288"/>
        <v>3.8</v>
      </c>
      <c r="AW180" s="10">
        <f t="shared" si="458"/>
        <v>7.992</v>
      </c>
      <c r="AZ180" t="str">
        <f t="shared" si="459"/>
        <v>Yes</v>
      </c>
      <c r="BB180" s="37">
        <f t="shared" si="460"/>
        <v>-0.5</v>
      </c>
      <c r="BC180" s="37">
        <f t="shared" si="427"/>
        <v>-0.77600000000000002</v>
      </c>
      <c r="BD180" s="37">
        <f t="shared" si="461"/>
        <v>-0.77600000000000002</v>
      </c>
      <c r="BE180" s="37">
        <f t="shared" si="462"/>
        <v>-0.5</v>
      </c>
      <c r="BF180" s="13" cm="1">
        <f t="array" ref="BF180">SUMPRODUCT((1/COUNTIFS($A$3:$A180,$A$3:$A180,$H$3:$H180,$H$3:$H180,$I$3:$I180,$I$3:$I180)))</f>
        <v>87.000000000000028</v>
      </c>
    </row>
    <row r="181" spans="1:58" x14ac:dyDescent="0.2">
      <c r="A181" s="91">
        <v>46298</v>
      </c>
      <c r="C181" s="37">
        <v>11.08</v>
      </c>
      <c r="D181" s="13" t="s">
        <v>205</v>
      </c>
      <c r="E181" s="13" t="s">
        <v>142</v>
      </c>
      <c r="H181" t="s">
        <v>141</v>
      </c>
      <c r="I181" s="13">
        <v>5</v>
      </c>
      <c r="J181" s="13">
        <v>8</v>
      </c>
      <c r="K181" s="92" t="s">
        <v>389</v>
      </c>
      <c r="L181" s="37">
        <v>0.5</v>
      </c>
      <c r="M181" s="37">
        <v>17.5</v>
      </c>
      <c r="N181" s="37">
        <v>30</v>
      </c>
      <c r="O181" s="37" t="s">
        <v>17</v>
      </c>
      <c r="Q181" s="13" t="s">
        <v>4</v>
      </c>
      <c r="R181" s="37">
        <v>27.68</v>
      </c>
      <c r="S181" s="13">
        <v>3</v>
      </c>
      <c r="T181" s="38" t="str">
        <f t="shared" si="287"/>
        <v>0.00</v>
      </c>
      <c r="U181" s="38">
        <f t="shared" si="463"/>
        <v>-0.5</v>
      </c>
      <c r="V181" s="38">
        <f t="shared" si="464"/>
        <v>-16.037319999999998</v>
      </c>
      <c r="W181" s="38">
        <f t="shared" si="465"/>
        <v>87.700000000000017</v>
      </c>
      <c r="X181" s="39">
        <f t="shared" si="466"/>
        <v>-0.18286567844925877</v>
      </c>
      <c r="Y181" s="40">
        <f t="shared" si="467"/>
        <v>-0.16037319999999997</v>
      </c>
      <c r="Z181" s="41">
        <f t="shared" si="468"/>
        <v>-1603.7319999999997</v>
      </c>
      <c r="AA181" s="13" t="s">
        <v>57</v>
      </c>
      <c r="AT181" s="37">
        <v>26.1</v>
      </c>
      <c r="AU181" s="37">
        <v>21</v>
      </c>
      <c r="AV181" s="10">
        <f t="shared" si="288"/>
        <v>14.5</v>
      </c>
      <c r="AW181" s="10">
        <f t="shared" si="458"/>
        <v>27.68</v>
      </c>
      <c r="AZ181" t="str">
        <f t="shared" si="459"/>
        <v>Yes</v>
      </c>
      <c r="BB181" s="37">
        <f t="shared" si="460"/>
        <v>-0.5</v>
      </c>
      <c r="BC181" s="37">
        <f t="shared" si="427"/>
        <v>-0.77600000000000002</v>
      </c>
      <c r="BD181" s="37">
        <f t="shared" si="461"/>
        <v>-0.77600000000000002</v>
      </c>
      <c r="BE181" s="37">
        <f t="shared" si="462"/>
        <v>-0.5</v>
      </c>
      <c r="BF181" s="13" cm="1">
        <f t="array" ref="BF181">SUMPRODUCT((1/COUNTIFS($A$3:$A181,$A$3:$A181,$H$3:$H181,$H$3:$H181,$I$3:$I181,$I$3:$I181)))</f>
        <v>87.000000000000028</v>
      </c>
    </row>
    <row r="182" spans="1:58" x14ac:dyDescent="0.2">
      <c r="A182" s="91">
        <v>46298</v>
      </c>
      <c r="C182" s="37">
        <v>11.08</v>
      </c>
      <c r="D182" s="13" t="s">
        <v>205</v>
      </c>
      <c r="E182" s="13" t="s">
        <v>142</v>
      </c>
      <c r="H182" t="s">
        <v>141</v>
      </c>
      <c r="I182" s="13">
        <v>5</v>
      </c>
      <c r="J182" s="13">
        <v>8</v>
      </c>
      <c r="K182" s="101" t="s">
        <v>389</v>
      </c>
      <c r="L182" s="37">
        <v>0.2</v>
      </c>
      <c r="M182" s="37">
        <v>5</v>
      </c>
      <c r="N182" s="37">
        <v>5.62</v>
      </c>
      <c r="O182" s="37" t="s">
        <v>17</v>
      </c>
      <c r="Q182" s="13" t="s">
        <v>89</v>
      </c>
      <c r="R182" s="37">
        <v>5.2504</v>
      </c>
      <c r="S182" s="13">
        <v>3</v>
      </c>
      <c r="T182" s="38">
        <f t="shared" si="287"/>
        <v>1.05</v>
      </c>
      <c r="U182" s="38">
        <f t="shared" si="463"/>
        <v>0.92400000000000004</v>
      </c>
      <c r="V182" s="38">
        <f t="shared" si="464"/>
        <v>-15.113319999999998</v>
      </c>
      <c r="W182" s="38">
        <f t="shared" si="465"/>
        <v>87.90000000000002</v>
      </c>
      <c r="X182" s="39">
        <f t="shared" si="466"/>
        <v>-0.17193765642775877</v>
      </c>
      <c r="Y182" s="40">
        <f t="shared" si="467"/>
        <v>-0.15113319999999997</v>
      </c>
      <c r="Z182" s="41">
        <f t="shared" si="468"/>
        <v>-1511.3319999999999</v>
      </c>
      <c r="AA182" s="13" t="s">
        <v>206</v>
      </c>
      <c r="AT182" s="37">
        <v>4.5</v>
      </c>
      <c r="AU182" s="37">
        <v>4.5</v>
      </c>
      <c r="AV182" s="10">
        <f t="shared" si="288"/>
        <v>0.92400000000000015</v>
      </c>
      <c r="AW182" s="10">
        <f t="shared" si="458"/>
        <v>5.2504</v>
      </c>
      <c r="AZ182" t="str">
        <f t="shared" si="459"/>
        <v>Yes</v>
      </c>
      <c r="BB182" s="37">
        <f t="shared" si="460"/>
        <v>0.92400000000000004</v>
      </c>
      <c r="BC182" s="37">
        <f t="shared" si="427"/>
        <v>-0.77600000000000002</v>
      </c>
      <c r="BD182" s="37">
        <f t="shared" si="461"/>
        <v>-0.77600000000000002</v>
      </c>
      <c r="BE182" s="37">
        <f t="shared" si="462"/>
        <v>0.92400000000000004</v>
      </c>
      <c r="BF182" s="13" cm="1">
        <f t="array" ref="BF182">SUMPRODUCT((1/COUNTIFS($A$3:$A182,$A$3:$A182,$H$3:$H182,$H$3:$H182,$I$3:$I182,$I$3:$I182)))</f>
        <v>87.000000000000014</v>
      </c>
    </row>
    <row r="183" spans="1:58" x14ac:dyDescent="0.2">
      <c r="A183" s="91">
        <v>46298</v>
      </c>
      <c r="C183" s="37">
        <v>11.08</v>
      </c>
      <c r="D183" s="13" t="s">
        <v>205</v>
      </c>
      <c r="E183" s="13" t="s">
        <v>142</v>
      </c>
      <c r="H183" t="s">
        <v>141</v>
      </c>
      <c r="I183" s="13">
        <v>5</v>
      </c>
      <c r="J183" s="13">
        <v>9</v>
      </c>
      <c r="K183" t="s">
        <v>390</v>
      </c>
      <c r="L183" s="37">
        <v>0.5</v>
      </c>
      <c r="M183" s="37">
        <v>22</v>
      </c>
      <c r="N183" s="37">
        <v>38.29</v>
      </c>
      <c r="O183" s="37" t="s">
        <v>17</v>
      </c>
      <c r="Q183" s="13" t="s">
        <v>4</v>
      </c>
      <c r="R183" s="37">
        <v>35.306800000000003</v>
      </c>
      <c r="S183" s="13" t="s">
        <v>136</v>
      </c>
      <c r="T183" s="38" t="str">
        <f t="shared" si="287"/>
        <v>0.00</v>
      </c>
      <c r="U183" s="38">
        <f t="shared" si="463"/>
        <v>-0.5</v>
      </c>
      <c r="V183" s="38">
        <f t="shared" si="464"/>
        <v>-15.613319999999998</v>
      </c>
      <c r="W183" s="38">
        <f t="shared" si="465"/>
        <v>88.40000000000002</v>
      </c>
      <c r="X183" s="39">
        <f t="shared" si="466"/>
        <v>-0.17662126696832572</v>
      </c>
      <c r="Y183" s="40">
        <f t="shared" si="467"/>
        <v>-0.15613319999999997</v>
      </c>
      <c r="Z183" s="41">
        <f t="shared" si="468"/>
        <v>-1561.3319999999999</v>
      </c>
      <c r="AA183" s="13" t="s">
        <v>57</v>
      </c>
      <c r="AT183" s="37">
        <v>28.7</v>
      </c>
      <c r="AU183" s="37">
        <v>26</v>
      </c>
      <c r="AV183" s="10">
        <f t="shared" si="288"/>
        <v>18.645</v>
      </c>
      <c r="AW183" s="10">
        <f t="shared" si="458"/>
        <v>35.306800000000003</v>
      </c>
      <c r="AZ183" t="str">
        <f t="shared" si="459"/>
        <v>Yes</v>
      </c>
      <c r="BB183" s="37">
        <f t="shared" si="460"/>
        <v>-0.5</v>
      </c>
      <c r="BC183" s="37">
        <f t="shared" si="427"/>
        <v>-0.77600000000000002</v>
      </c>
      <c r="BD183" s="37">
        <f t="shared" si="461"/>
        <v>-0.77600000000000002</v>
      </c>
      <c r="BE183" s="37">
        <f t="shared" si="462"/>
        <v>-0.5</v>
      </c>
      <c r="BF183" s="13" cm="1">
        <f t="array" ref="BF183">SUMPRODUCT((1/COUNTIFS($A$3:$A183,$A$3:$A183,$H$3:$H183,$H$3:$H183,$I$3:$I183,$I$3:$I183)))</f>
        <v>87.000000000000028</v>
      </c>
    </row>
    <row r="184" spans="1:58" x14ac:dyDescent="0.2">
      <c r="A184" s="91">
        <v>46298</v>
      </c>
      <c r="C184" s="37">
        <v>11.08</v>
      </c>
      <c r="D184" s="13" t="s">
        <v>205</v>
      </c>
      <c r="E184" s="13" t="s">
        <v>142</v>
      </c>
      <c r="H184" t="s">
        <v>141</v>
      </c>
      <c r="I184" s="13">
        <v>5</v>
      </c>
      <c r="J184" s="13">
        <v>9</v>
      </c>
      <c r="K184" t="s">
        <v>390</v>
      </c>
      <c r="L184" s="37">
        <v>0.2</v>
      </c>
      <c r="M184" s="37">
        <v>6.4</v>
      </c>
      <c r="N184" s="37">
        <v>7.2</v>
      </c>
      <c r="O184" s="37" t="s">
        <v>17</v>
      </c>
      <c r="Q184" s="13" t="s">
        <v>89</v>
      </c>
      <c r="R184" s="37">
        <v>6.7040000000000006</v>
      </c>
      <c r="S184" s="13" t="s">
        <v>136</v>
      </c>
      <c r="T184" s="38" t="str">
        <f t="shared" si="287"/>
        <v>0.00</v>
      </c>
      <c r="U184" s="38">
        <f t="shared" si="463"/>
        <v>-0.2</v>
      </c>
      <c r="V184" s="38">
        <f t="shared" si="464"/>
        <v>-15.813319999999997</v>
      </c>
      <c r="W184" s="38">
        <f t="shared" si="465"/>
        <v>88.600000000000023</v>
      </c>
      <c r="X184" s="39">
        <f t="shared" si="466"/>
        <v>-0.1784799097065462</v>
      </c>
      <c r="Y184" s="40">
        <f t="shared" si="467"/>
        <v>-0.15813319999999997</v>
      </c>
      <c r="Z184" s="41">
        <f t="shared" si="468"/>
        <v>-1581.3319999999997</v>
      </c>
      <c r="AA184" s="13" t="s">
        <v>57</v>
      </c>
      <c r="AT184" s="37">
        <v>5.0999999999999996</v>
      </c>
      <c r="AU184" s="37">
        <v>5.0999999999999996</v>
      </c>
      <c r="AV184" s="10">
        <f t="shared" si="288"/>
        <v>1.2400000000000002</v>
      </c>
      <c r="AW184" s="10">
        <f t="shared" si="458"/>
        <v>6.7040000000000006</v>
      </c>
      <c r="AZ184" t="str">
        <f t="shared" si="459"/>
        <v>Yes</v>
      </c>
      <c r="BB184" s="37">
        <f t="shared" si="460"/>
        <v>-0.2</v>
      </c>
      <c r="BC184" s="37">
        <f t="shared" si="427"/>
        <v>-0.77600000000000002</v>
      </c>
      <c r="BD184" s="37">
        <f t="shared" si="461"/>
        <v>-0.77600000000000002</v>
      </c>
      <c r="BE184" s="37">
        <f t="shared" si="462"/>
        <v>-0.2</v>
      </c>
      <c r="BF184" s="13" cm="1">
        <f t="array" ref="BF184">SUMPRODUCT((1/COUNTIFS($A$3:$A184,$A$3:$A184,$H$3:$H184,$H$3:$H184,$I$3:$I184,$I$3:$I184)))</f>
        <v>87.000000000000043</v>
      </c>
    </row>
    <row r="185" spans="1:58" x14ac:dyDescent="0.2">
      <c r="A185" s="91">
        <v>46298</v>
      </c>
      <c r="C185" s="37">
        <v>11.08</v>
      </c>
      <c r="D185" s="13" t="s">
        <v>205</v>
      </c>
      <c r="E185" s="13" t="s">
        <v>134</v>
      </c>
      <c r="H185" t="s">
        <v>138</v>
      </c>
      <c r="I185" s="13">
        <v>5</v>
      </c>
      <c r="J185" s="13">
        <v>2</v>
      </c>
      <c r="K185" s="98" t="s">
        <v>391</v>
      </c>
      <c r="L185" s="37">
        <v>0.5</v>
      </c>
      <c r="M185" s="37">
        <v>17</v>
      </c>
      <c r="N185" s="37">
        <v>17</v>
      </c>
      <c r="O185" s="37" t="s">
        <v>17</v>
      </c>
      <c r="Q185" s="13" t="s">
        <v>4</v>
      </c>
      <c r="R185" s="37">
        <v>15.72</v>
      </c>
      <c r="S185" s="13">
        <v>4</v>
      </c>
      <c r="T185" s="38" t="str">
        <f t="shared" si="287"/>
        <v>0.00</v>
      </c>
      <c r="U185" s="38">
        <f t="shared" ref="U185:U186" si="469">BE185</f>
        <v>-0.5</v>
      </c>
      <c r="V185" s="38">
        <f t="shared" ref="V185:V186" si="470">V184+U185</f>
        <v>-16.313319999999997</v>
      </c>
      <c r="W185" s="38">
        <f t="shared" ref="W185:W186" si="471">W184+L185</f>
        <v>89.100000000000023</v>
      </c>
      <c r="X185" s="39">
        <f t="shared" ref="X185:X186" si="472">SUM(V185/W185)</f>
        <v>-0.18309001122334448</v>
      </c>
      <c r="Y185" s="40">
        <f t="shared" ref="Y185:Y186" si="473">V185/100</f>
        <v>-0.16313319999999998</v>
      </c>
      <c r="Z185" s="41">
        <f t="shared" ref="Z185:Z186" si="474">V185*100</f>
        <v>-1631.3319999999997</v>
      </c>
      <c r="AA185" s="13" t="s">
        <v>57</v>
      </c>
      <c r="AT185" s="37">
        <v>14</v>
      </c>
      <c r="AU185" s="37">
        <v>14</v>
      </c>
      <c r="AV185" s="10">
        <f t="shared" si="288"/>
        <v>8</v>
      </c>
      <c r="AW185" s="10">
        <f t="shared" ref="AW185:AW186" si="475">0.92*(N185-1)+1</f>
        <v>15.72</v>
      </c>
      <c r="AZ185" t="str">
        <f t="shared" ref="AZ185:AZ186" si="476">IF(N185&gt;=M185,"Yes","No")</f>
        <v>Yes</v>
      </c>
      <c r="BB185" s="37">
        <f t="shared" ref="BB185:BB186" si="477">IF(AA185="W",
   L185*(N185-1),
   -L185
)</f>
        <v>-0.5</v>
      </c>
      <c r="BC185" s="37">
        <f t="shared" si="427"/>
        <v>-0.5</v>
      </c>
      <c r="BD185" s="37">
        <f t="shared" ref="BD185:BD186" si="478">IF(BC185&gt;0, BC185*0.92, BC185)</f>
        <v>-0.5</v>
      </c>
      <c r="BE185" s="37">
        <f t="shared" ref="BE185:BE186" si="479">IF(
  BC185&gt;0,
  IF(
    AA185="W",
    BB185 - (BC185 - BD185),
    BB185
  ),
  BB185
)</f>
        <v>-0.5</v>
      </c>
      <c r="BF185" s="13" cm="1">
        <f t="array" ref="BF185">SUMPRODUCT((1/COUNTIFS($A$3:$A185,$A$3:$A185,$H$3:$H185,$H$3:$H185,$I$3:$I185,$I$3:$I185)))</f>
        <v>88.000000000000043</v>
      </c>
    </row>
    <row r="186" spans="1:58" x14ac:dyDescent="0.2">
      <c r="A186" s="91">
        <v>46298</v>
      </c>
      <c r="C186" s="37">
        <v>11.08</v>
      </c>
      <c r="D186" s="13" t="s">
        <v>205</v>
      </c>
      <c r="E186" s="13" t="s">
        <v>142</v>
      </c>
      <c r="H186" t="s">
        <v>141</v>
      </c>
      <c r="I186" s="13">
        <v>6</v>
      </c>
      <c r="J186" s="13">
        <v>6</v>
      </c>
      <c r="K186" t="s">
        <v>393</v>
      </c>
      <c r="L186" s="37">
        <v>0.5</v>
      </c>
      <c r="M186" s="37">
        <v>12</v>
      </c>
      <c r="N186" s="37">
        <v>12</v>
      </c>
      <c r="O186" s="37" t="s">
        <v>17</v>
      </c>
      <c r="Q186" s="13" t="s">
        <v>4</v>
      </c>
      <c r="R186" s="37">
        <v>11.120000000000001</v>
      </c>
      <c r="S186" s="13" t="s">
        <v>136</v>
      </c>
      <c r="T186" s="38" t="str">
        <f t="shared" si="287"/>
        <v>0.00</v>
      </c>
      <c r="U186" s="38">
        <f t="shared" si="469"/>
        <v>-0.5</v>
      </c>
      <c r="V186" s="38">
        <f t="shared" si="470"/>
        <v>-16.813319999999997</v>
      </c>
      <c r="W186" s="38">
        <f t="shared" si="471"/>
        <v>89.600000000000023</v>
      </c>
      <c r="X186" s="39">
        <f t="shared" si="472"/>
        <v>-0.18764866071428563</v>
      </c>
      <c r="Y186" s="40">
        <f t="shared" si="473"/>
        <v>-0.16813319999999998</v>
      </c>
      <c r="Z186" s="41">
        <f t="shared" si="474"/>
        <v>-1681.3319999999997</v>
      </c>
      <c r="AA186" s="13" t="s">
        <v>57</v>
      </c>
      <c r="AT186" s="37">
        <v>10</v>
      </c>
      <c r="AU186" s="37">
        <v>11</v>
      </c>
      <c r="AV186" s="10">
        <f t="shared" si="288"/>
        <v>5.5</v>
      </c>
      <c r="AW186" s="10">
        <f t="shared" si="475"/>
        <v>11.120000000000001</v>
      </c>
      <c r="AZ186" t="str">
        <f t="shared" si="476"/>
        <v>Yes</v>
      </c>
      <c r="BB186" s="37">
        <f t="shared" si="477"/>
        <v>-0.5</v>
      </c>
      <c r="BC186" s="37">
        <f t="shared" si="427"/>
        <v>-0.5</v>
      </c>
      <c r="BD186" s="37">
        <f t="shared" si="478"/>
        <v>-0.5</v>
      </c>
      <c r="BE186" s="37">
        <f t="shared" si="479"/>
        <v>-0.5</v>
      </c>
      <c r="BF186" s="13" cm="1">
        <f t="array" ref="BF186">SUMPRODUCT((1/COUNTIFS($A$3:$A186,$A$3:$A186,$H$3:$H186,$H$3:$H186,$I$3:$I186,$I$3:$I186)))</f>
        <v>89.000000000000043</v>
      </c>
    </row>
    <row r="187" spans="1:58" x14ac:dyDescent="0.2">
      <c r="A187" s="91">
        <v>46298</v>
      </c>
      <c r="C187" s="37">
        <v>11.08</v>
      </c>
      <c r="D187" s="13" t="s">
        <v>205</v>
      </c>
      <c r="E187" s="13" t="s">
        <v>142</v>
      </c>
      <c r="H187" t="s">
        <v>141</v>
      </c>
      <c r="I187" s="13">
        <v>7</v>
      </c>
      <c r="J187" s="13">
        <v>1</v>
      </c>
      <c r="K187" t="s">
        <v>225</v>
      </c>
      <c r="L187" s="37">
        <v>0.5</v>
      </c>
      <c r="M187" s="37">
        <v>16</v>
      </c>
      <c r="N187" s="37">
        <v>26.94</v>
      </c>
      <c r="O187" s="37" t="s">
        <v>17</v>
      </c>
      <c r="Q187" s="13" t="s">
        <v>4</v>
      </c>
      <c r="R187" s="37">
        <v>24.864800000000002</v>
      </c>
      <c r="S187" s="13" t="s">
        <v>136</v>
      </c>
      <c r="T187" s="38" t="str">
        <f t="shared" si="287"/>
        <v>0.00</v>
      </c>
      <c r="U187" s="38">
        <f t="shared" ref="U187:U190" si="480">BE187</f>
        <v>-0.5</v>
      </c>
      <c r="V187" s="38">
        <f t="shared" ref="V187:V190" si="481">V186+U187</f>
        <v>-17.313319999999997</v>
      </c>
      <c r="W187" s="38">
        <f t="shared" ref="W187:W190" si="482">W186+L187</f>
        <v>90.100000000000023</v>
      </c>
      <c r="X187" s="39">
        <f t="shared" ref="X187:X190" si="483">SUM(V187/W187)</f>
        <v>-0.19215671476137616</v>
      </c>
      <c r="Y187" s="40">
        <f t="shared" ref="Y187:Y190" si="484">V187/100</f>
        <v>-0.17313319999999999</v>
      </c>
      <c r="Z187" s="41">
        <f t="shared" ref="Z187:Z190" si="485">V187*100</f>
        <v>-1731.3319999999997</v>
      </c>
      <c r="AA187" s="13" t="s">
        <v>57</v>
      </c>
      <c r="AT187" s="37">
        <v>19.600000000000001</v>
      </c>
      <c r="AU187" s="37">
        <v>21</v>
      </c>
      <c r="AV187" s="10">
        <f t="shared" si="288"/>
        <v>12.97</v>
      </c>
      <c r="AW187" s="10">
        <f t="shared" ref="AW187:AW190" si="486">0.92*(N187-1)+1</f>
        <v>24.864800000000002</v>
      </c>
      <c r="AZ187" t="str">
        <f t="shared" ref="AZ187:AZ190" si="487">IF(N187&gt;=M187,"Yes","No")</f>
        <v>Yes</v>
      </c>
      <c r="BB187" s="37">
        <f t="shared" ref="BB187:BB190" si="488">IF(AA187="W",
   L187*(N187-1),
   -L187
)</f>
        <v>-0.5</v>
      </c>
      <c r="BC187" s="37">
        <f t="shared" si="427"/>
        <v>-1.7</v>
      </c>
      <c r="BD187" s="37">
        <f t="shared" ref="BD187:BD190" si="489">IF(BC187&gt;0, BC187*0.92, BC187)</f>
        <v>-1.7</v>
      </c>
      <c r="BE187" s="37">
        <f t="shared" ref="BE187:BE190" si="490">IF(
  BC187&gt;0,
  IF(
    AA187="W",
    BB187 - (BC187 - BD187),
    BB187
  ),
  BB187
)</f>
        <v>-0.5</v>
      </c>
      <c r="BF187" s="13" cm="1">
        <f t="array" ref="BF187">SUMPRODUCT((1/COUNTIFS($A$3:$A187,$A$3:$A187,$H$3:$H187,$H$3:$H187,$I$3:$I187,$I$3:$I187)))</f>
        <v>90.000000000000043</v>
      </c>
    </row>
    <row r="188" spans="1:58" x14ac:dyDescent="0.2">
      <c r="A188" s="91">
        <v>46298</v>
      </c>
      <c r="C188" s="37">
        <v>11.08</v>
      </c>
      <c r="D188" s="13" t="s">
        <v>205</v>
      </c>
      <c r="E188" s="13" t="s">
        <v>142</v>
      </c>
      <c r="H188" t="s">
        <v>141</v>
      </c>
      <c r="I188" s="13">
        <v>7</v>
      </c>
      <c r="J188" s="13">
        <v>1</v>
      </c>
      <c r="K188" t="s">
        <v>225</v>
      </c>
      <c r="L188" s="37">
        <v>0.2</v>
      </c>
      <c r="M188" s="37">
        <v>4.4000000000000004</v>
      </c>
      <c r="N188" s="37">
        <v>4.8</v>
      </c>
      <c r="O188" s="37" t="s">
        <v>17</v>
      </c>
      <c r="Q188" s="13" t="s">
        <v>89</v>
      </c>
      <c r="R188" s="37">
        <v>4.4960000000000004</v>
      </c>
      <c r="S188" s="13" t="s">
        <v>136</v>
      </c>
      <c r="T188" s="38" t="str">
        <f t="shared" si="287"/>
        <v>0.00</v>
      </c>
      <c r="U188" s="38">
        <f t="shared" si="480"/>
        <v>-0.2</v>
      </c>
      <c r="V188" s="38">
        <f t="shared" si="481"/>
        <v>-17.513319999999997</v>
      </c>
      <c r="W188" s="38">
        <f t="shared" si="482"/>
        <v>90.300000000000026</v>
      </c>
      <c r="X188" s="39">
        <f t="shared" si="483"/>
        <v>-0.19394595791805086</v>
      </c>
      <c r="Y188" s="40">
        <f t="shared" si="484"/>
        <v>-0.17513319999999996</v>
      </c>
      <c r="Z188" s="41">
        <f t="shared" si="485"/>
        <v>-1751.3319999999997</v>
      </c>
      <c r="AA188" s="13" t="s">
        <v>57</v>
      </c>
      <c r="AT188" s="37">
        <v>3.4</v>
      </c>
      <c r="AU188" s="37">
        <v>3.4</v>
      </c>
      <c r="AV188" s="10">
        <f t="shared" si="288"/>
        <v>0.76</v>
      </c>
      <c r="AW188" s="10">
        <f t="shared" si="486"/>
        <v>4.4960000000000004</v>
      </c>
      <c r="AZ188" t="str">
        <f t="shared" si="487"/>
        <v>Yes</v>
      </c>
      <c r="BB188" s="37">
        <f t="shared" si="488"/>
        <v>-0.2</v>
      </c>
      <c r="BC188" s="37">
        <f t="shared" si="427"/>
        <v>-1.7</v>
      </c>
      <c r="BD188" s="37">
        <f t="shared" si="489"/>
        <v>-1.7</v>
      </c>
      <c r="BE188" s="37">
        <f t="shared" si="490"/>
        <v>-0.2</v>
      </c>
      <c r="BF188" s="13" cm="1">
        <f t="array" ref="BF188">SUMPRODUCT((1/COUNTIFS($A$3:$A188,$A$3:$A188,$H$3:$H188,$H$3:$H188,$I$3:$I188,$I$3:$I188)))</f>
        <v>90.000000000000043</v>
      </c>
    </row>
    <row r="189" spans="1:58" x14ac:dyDescent="0.2">
      <c r="A189" s="91">
        <v>46298</v>
      </c>
      <c r="C189" s="37">
        <v>11.08</v>
      </c>
      <c r="D189" s="13" t="s">
        <v>205</v>
      </c>
      <c r="E189" s="13" t="s">
        <v>142</v>
      </c>
      <c r="H189" t="s">
        <v>141</v>
      </c>
      <c r="I189" s="13">
        <v>7</v>
      </c>
      <c r="J189" s="13">
        <v>4</v>
      </c>
      <c r="K189" s="98" t="s">
        <v>394</v>
      </c>
      <c r="L189" s="37">
        <v>0.5</v>
      </c>
      <c r="M189" s="37">
        <v>12</v>
      </c>
      <c r="N189" s="37">
        <v>15.95</v>
      </c>
      <c r="O189" s="37" t="s">
        <v>17</v>
      </c>
      <c r="Q189" s="13" t="s">
        <v>4</v>
      </c>
      <c r="R189" s="37">
        <v>14.754</v>
      </c>
      <c r="S189" s="13">
        <v>4</v>
      </c>
      <c r="T189" s="38" t="str">
        <f t="shared" si="287"/>
        <v>0.00</v>
      </c>
      <c r="U189" s="38">
        <f t="shared" si="480"/>
        <v>-0.5</v>
      </c>
      <c r="V189" s="38">
        <f t="shared" si="481"/>
        <v>-18.013319999999997</v>
      </c>
      <c r="W189" s="38">
        <f t="shared" si="482"/>
        <v>90.800000000000026</v>
      </c>
      <c r="X189" s="39">
        <f t="shared" si="483"/>
        <v>-0.19838458149779725</v>
      </c>
      <c r="Y189" s="40">
        <f t="shared" si="484"/>
        <v>-0.18013319999999997</v>
      </c>
      <c r="Z189" s="41">
        <f t="shared" si="485"/>
        <v>-1801.3319999999997</v>
      </c>
      <c r="AA189" s="13" t="s">
        <v>57</v>
      </c>
      <c r="AT189" s="37">
        <v>11</v>
      </c>
      <c r="AU189" s="37">
        <v>11</v>
      </c>
      <c r="AV189" s="10">
        <f t="shared" si="288"/>
        <v>7.4749999999999996</v>
      </c>
      <c r="AW189" s="10">
        <f>0.92*(N189-1)+1</f>
        <v>14.754</v>
      </c>
      <c r="AZ189" t="str">
        <f t="shared" si="487"/>
        <v>Yes</v>
      </c>
      <c r="BB189" s="37">
        <f t="shared" si="488"/>
        <v>-0.5</v>
      </c>
      <c r="BC189" s="37">
        <f t="shared" si="427"/>
        <v>-1.7</v>
      </c>
      <c r="BD189" s="37">
        <f t="shared" si="489"/>
        <v>-1.7</v>
      </c>
      <c r="BE189" s="37">
        <f t="shared" si="490"/>
        <v>-0.5</v>
      </c>
      <c r="BF189" s="13" cm="1">
        <f t="array" ref="BF189">SUMPRODUCT((1/COUNTIFS($A$3:$A189,$A$3:$A189,$H$3:$H189,$H$3:$H189,$I$3:$I189,$I$3:$I189)))</f>
        <v>90.000000000000028</v>
      </c>
    </row>
    <row r="190" spans="1:58" x14ac:dyDescent="0.2">
      <c r="A190" s="91">
        <v>46298</v>
      </c>
      <c r="C190" s="37">
        <v>11.08</v>
      </c>
      <c r="D190" s="13" t="s">
        <v>205</v>
      </c>
      <c r="E190" s="13" t="s">
        <v>142</v>
      </c>
      <c r="H190" t="s">
        <v>141</v>
      </c>
      <c r="I190" s="13">
        <v>7</v>
      </c>
      <c r="J190" s="13">
        <v>6</v>
      </c>
      <c r="K190" t="s">
        <v>395</v>
      </c>
      <c r="L190" s="37">
        <v>0.5</v>
      </c>
      <c r="M190" s="37">
        <v>9.1999999999999993</v>
      </c>
      <c r="N190" s="37">
        <v>13.5</v>
      </c>
      <c r="O190" s="37" t="s">
        <v>17</v>
      </c>
      <c r="Q190" s="13" t="s">
        <v>4</v>
      </c>
      <c r="R190" s="37">
        <v>12.5</v>
      </c>
      <c r="S190" s="13" t="s">
        <v>136</v>
      </c>
      <c r="T190" s="38" t="str">
        <f t="shared" si="287"/>
        <v>0.00</v>
      </c>
      <c r="U190" s="38">
        <f t="shared" si="480"/>
        <v>-0.5</v>
      </c>
      <c r="V190" s="38">
        <f t="shared" si="481"/>
        <v>-18.513319999999997</v>
      </c>
      <c r="W190" s="38">
        <f t="shared" si="482"/>
        <v>91.300000000000026</v>
      </c>
      <c r="X190" s="39">
        <f t="shared" si="483"/>
        <v>-0.20277458926615544</v>
      </c>
      <c r="Y190" s="40">
        <f t="shared" si="484"/>
        <v>-0.18513319999999997</v>
      </c>
      <c r="Z190" s="41">
        <f t="shared" si="485"/>
        <v>-1851.3319999999997</v>
      </c>
      <c r="AA190" s="13" t="s">
        <v>57</v>
      </c>
      <c r="AT190" s="37">
        <v>8.5</v>
      </c>
      <c r="AU190" s="37">
        <v>8.5</v>
      </c>
      <c r="AV190" s="10">
        <f t="shared" si="288"/>
        <v>6.25</v>
      </c>
      <c r="AW190" s="10">
        <f t="shared" si="486"/>
        <v>12.5</v>
      </c>
      <c r="AZ190" t="str">
        <f t="shared" si="487"/>
        <v>Yes</v>
      </c>
      <c r="BB190" s="37">
        <f t="shared" si="488"/>
        <v>-0.5</v>
      </c>
      <c r="BC190" s="37">
        <f t="shared" si="427"/>
        <v>-1.7</v>
      </c>
      <c r="BD190" s="37">
        <f t="shared" si="489"/>
        <v>-1.7</v>
      </c>
      <c r="BE190" s="37">
        <f t="shared" si="490"/>
        <v>-0.5</v>
      </c>
      <c r="BF190" s="13" cm="1">
        <f t="array" ref="BF190">SUMPRODUCT((1/COUNTIFS($A$3:$A190,$A$3:$A190,$H$3:$H190,$H$3:$H190,$I$3:$I190,$I$3:$I190)))</f>
        <v>90.000000000000043</v>
      </c>
    </row>
    <row r="191" spans="1:58" x14ac:dyDescent="0.2">
      <c r="A191" s="91">
        <v>46298</v>
      </c>
      <c r="C191" s="37">
        <v>11.08</v>
      </c>
      <c r="D191" s="13" t="s">
        <v>205</v>
      </c>
      <c r="E191" s="13" t="s">
        <v>134</v>
      </c>
      <c r="H191" t="s">
        <v>138</v>
      </c>
      <c r="I191" s="13">
        <v>7</v>
      </c>
      <c r="J191" s="13">
        <v>8</v>
      </c>
      <c r="K191" t="s">
        <v>396</v>
      </c>
      <c r="L191" s="37">
        <v>0.5</v>
      </c>
      <c r="M191" s="37">
        <v>22</v>
      </c>
      <c r="N191" s="37">
        <v>22</v>
      </c>
      <c r="O191" s="37" t="s">
        <v>17</v>
      </c>
      <c r="Q191" s="13" t="s">
        <v>4</v>
      </c>
      <c r="R191" s="37">
        <v>20.32</v>
      </c>
      <c r="S191" s="13" t="s">
        <v>136</v>
      </c>
      <c r="T191" s="38" t="str">
        <f t="shared" si="287"/>
        <v>0.00</v>
      </c>
      <c r="U191" s="38">
        <f t="shared" ref="U191" si="491">BE191</f>
        <v>-0.5</v>
      </c>
      <c r="V191" s="38">
        <f t="shared" ref="V191" si="492">V190+U191</f>
        <v>-19.013319999999997</v>
      </c>
      <c r="W191" s="38">
        <f t="shared" ref="W191" si="493">W190+L191</f>
        <v>91.800000000000026</v>
      </c>
      <c r="X191" s="39">
        <f t="shared" ref="X191" si="494">SUM(V191/W191)</f>
        <v>-0.20711677559912844</v>
      </c>
      <c r="Y191" s="40">
        <f t="shared" ref="Y191" si="495">V191/100</f>
        <v>-0.19013319999999997</v>
      </c>
      <c r="Z191" s="41">
        <f t="shared" ref="Z191" si="496">V191*100</f>
        <v>-1901.3319999999997</v>
      </c>
      <c r="AA191" s="13" t="s">
        <v>57</v>
      </c>
      <c r="AT191" s="37">
        <v>17</v>
      </c>
      <c r="AU191" s="37">
        <v>17</v>
      </c>
      <c r="AV191" s="10">
        <f t="shared" si="288"/>
        <v>10.5</v>
      </c>
      <c r="AW191" s="10">
        <f t="shared" ref="AW191" si="497">0.92*(N191-1)+1</f>
        <v>20.32</v>
      </c>
      <c r="AZ191" t="str">
        <f t="shared" ref="AZ191" si="498">IF(N191&gt;=M191,"Yes","No")</f>
        <v>Yes</v>
      </c>
      <c r="BB191" s="37">
        <f t="shared" ref="BB191" si="499">IF(AA191="W",
   L191*(N191-1),
   -L191
)</f>
        <v>-0.5</v>
      </c>
      <c r="BC191" s="37">
        <f t="shared" si="427"/>
        <v>-0.5</v>
      </c>
      <c r="BD191" s="37">
        <f t="shared" ref="BD191:BD194" si="500">IF(BC191&gt;0, BC191*0.92, BC191)</f>
        <v>-0.5</v>
      </c>
      <c r="BE191" s="37">
        <f t="shared" ref="BE191:BE194" si="501">IF(
  BC191&gt;0,
  IF(
    AA191="W",
    BB191 - (BC191 - BD191),
    BB191
  ),
  BB191
)</f>
        <v>-0.5</v>
      </c>
      <c r="BF191" s="13" cm="1">
        <f t="array" ref="BF191">SUMPRODUCT((1/COUNTIFS($A$3:$A191,$A$3:$A191,$H$3:$H191,$H$3:$H191,$I$3:$I191,$I$3:$I191)))</f>
        <v>91.000000000000043</v>
      </c>
    </row>
    <row r="192" spans="1:58" x14ac:dyDescent="0.2">
      <c r="A192" s="91">
        <v>46298</v>
      </c>
      <c r="C192" s="37">
        <v>11.08</v>
      </c>
      <c r="D192" s="13" t="s">
        <v>205</v>
      </c>
      <c r="E192" s="13" t="s">
        <v>142</v>
      </c>
      <c r="H192" t="s">
        <v>141</v>
      </c>
      <c r="I192" s="13">
        <v>8</v>
      </c>
      <c r="J192" s="13">
        <v>1</v>
      </c>
      <c r="K192" t="s">
        <v>253</v>
      </c>
      <c r="L192" s="37">
        <v>0.5</v>
      </c>
      <c r="M192" s="37">
        <v>9.6</v>
      </c>
      <c r="N192" s="37">
        <v>9.7899999999999991</v>
      </c>
      <c r="O192" s="37" t="s">
        <v>17</v>
      </c>
      <c r="Q192" s="13" t="s">
        <v>4</v>
      </c>
      <c r="R192" s="37">
        <v>9.0868000000000002</v>
      </c>
      <c r="S192" s="13" t="s">
        <v>136</v>
      </c>
      <c r="T192" s="38" t="str">
        <f t="shared" si="287"/>
        <v>0.00</v>
      </c>
      <c r="U192" s="38">
        <f t="shared" ref="U192:U194" si="502">BE192</f>
        <v>-0.5</v>
      </c>
      <c r="V192" s="38">
        <f t="shared" ref="V192:V194" si="503">V191+U192</f>
        <v>-19.513319999999997</v>
      </c>
      <c r="W192" s="38">
        <f t="shared" ref="W192:W194" si="504">W191+L192</f>
        <v>92.300000000000026</v>
      </c>
      <c r="X192" s="39">
        <f t="shared" ref="X192:X194" si="505">SUM(V192/W192)</f>
        <v>-0.21141191765980488</v>
      </c>
      <c r="Y192" s="40">
        <f t="shared" ref="Y192:Y194" si="506">V192/100</f>
        <v>-0.19513319999999998</v>
      </c>
      <c r="Z192" s="41">
        <f t="shared" ref="Z192:Z194" si="507">V192*100</f>
        <v>-1951.3319999999997</v>
      </c>
      <c r="AA192" s="13" t="s">
        <v>57</v>
      </c>
      <c r="AT192" s="37">
        <v>8.8000000000000007</v>
      </c>
      <c r="AU192" s="37">
        <v>8</v>
      </c>
      <c r="AV192" s="10">
        <f t="shared" si="288"/>
        <v>4.3949999999999996</v>
      </c>
      <c r="AW192" s="10">
        <f t="shared" ref="AW192:AW194" si="508">0.92*(N192-1)+1</f>
        <v>9.0868000000000002</v>
      </c>
      <c r="AZ192" t="str">
        <f t="shared" ref="AZ192:AZ194" si="509">IF(N192&gt;=M192,"Yes","No")</f>
        <v>Yes</v>
      </c>
      <c r="BB192" s="37">
        <f t="shared" ref="BB192:BB194" si="510">IF(AA192="W",
   L192*(N192-1),
   -L192
)</f>
        <v>-0.5</v>
      </c>
      <c r="BC192" s="37">
        <f t="shared" si="427"/>
        <v>-1.2</v>
      </c>
      <c r="BD192" s="37">
        <f t="shared" si="500"/>
        <v>-1.2</v>
      </c>
      <c r="BE192" s="37">
        <f t="shared" si="501"/>
        <v>-0.5</v>
      </c>
      <c r="BF192" s="13" cm="1">
        <f t="array" ref="BF192">SUMPRODUCT((1/COUNTIFS($A$3:$A192,$A$3:$A192,$H$3:$H192,$H$3:$H192,$I$3:$I192,$I$3:$I192)))</f>
        <v>92.000000000000043</v>
      </c>
    </row>
    <row r="193" spans="1:58" x14ac:dyDescent="0.2">
      <c r="A193" s="91">
        <v>46298</v>
      </c>
      <c r="C193" s="37">
        <v>11.08</v>
      </c>
      <c r="D193" s="13" t="s">
        <v>205</v>
      </c>
      <c r="E193" s="13" t="s">
        <v>142</v>
      </c>
      <c r="H193" t="s">
        <v>141</v>
      </c>
      <c r="I193" s="13">
        <v>8</v>
      </c>
      <c r="J193" s="13">
        <v>4</v>
      </c>
      <c r="K193" t="s">
        <v>397</v>
      </c>
      <c r="L193" s="37">
        <v>0.5</v>
      </c>
      <c r="M193" s="37">
        <v>9.1999999999999993</v>
      </c>
      <c r="N193" s="37">
        <v>13.29</v>
      </c>
      <c r="O193" s="37" t="s">
        <v>17</v>
      </c>
      <c r="Q193" s="13" t="s">
        <v>4</v>
      </c>
      <c r="R193" s="37">
        <v>12.306799999999999</v>
      </c>
      <c r="S193" s="13" t="s">
        <v>136</v>
      </c>
      <c r="T193" s="38" t="str">
        <f t="shared" si="287"/>
        <v>0.00</v>
      </c>
      <c r="U193" s="38">
        <f t="shared" si="502"/>
        <v>-0.5</v>
      </c>
      <c r="V193" s="38">
        <f t="shared" si="503"/>
        <v>-20.013319999999997</v>
      </c>
      <c r="W193" s="38">
        <f t="shared" si="504"/>
        <v>92.800000000000026</v>
      </c>
      <c r="X193" s="39">
        <f t="shared" si="505"/>
        <v>-0.21566077586206886</v>
      </c>
      <c r="Y193" s="40">
        <f t="shared" si="506"/>
        <v>-0.20013319999999996</v>
      </c>
      <c r="Z193" s="41">
        <f t="shared" si="507"/>
        <v>-2001.3319999999997</v>
      </c>
      <c r="AA193" s="13" t="s">
        <v>57</v>
      </c>
      <c r="AT193" s="37">
        <v>12.3</v>
      </c>
      <c r="AU193" s="37">
        <v>10</v>
      </c>
      <c r="AV193" s="10">
        <f t="shared" si="288"/>
        <v>6.1449999999999996</v>
      </c>
      <c r="AW193" s="10">
        <f t="shared" si="508"/>
        <v>12.306799999999999</v>
      </c>
      <c r="AZ193" t="str">
        <f t="shared" si="509"/>
        <v>Yes</v>
      </c>
      <c r="BB193" s="37">
        <f t="shared" si="510"/>
        <v>-0.5</v>
      </c>
      <c r="BC193" s="37">
        <f t="shared" si="427"/>
        <v>-1.2</v>
      </c>
      <c r="BD193" s="37">
        <f t="shared" si="500"/>
        <v>-1.2</v>
      </c>
      <c r="BE193" s="37">
        <f t="shared" si="501"/>
        <v>-0.5</v>
      </c>
      <c r="BF193" s="13" cm="1">
        <f t="array" ref="BF193">SUMPRODUCT((1/COUNTIFS($A$3:$A193,$A$3:$A193,$H$3:$H193,$H$3:$H193,$I$3:$I193,$I$3:$I193)))</f>
        <v>92.000000000000043</v>
      </c>
    </row>
    <row r="194" spans="1:58" x14ac:dyDescent="0.2">
      <c r="A194" s="91">
        <v>46298</v>
      </c>
      <c r="C194" s="37">
        <v>11.08</v>
      </c>
      <c r="D194" s="13" t="s">
        <v>205</v>
      </c>
      <c r="E194" s="13" t="s">
        <v>142</v>
      </c>
      <c r="H194" t="s">
        <v>141</v>
      </c>
      <c r="I194" s="13">
        <v>8</v>
      </c>
      <c r="J194" s="13">
        <v>4</v>
      </c>
      <c r="K194" t="s">
        <v>397</v>
      </c>
      <c r="L194" s="37">
        <v>0.2</v>
      </c>
      <c r="M194" s="37">
        <v>2.9</v>
      </c>
      <c r="N194" s="37">
        <v>3.18</v>
      </c>
      <c r="O194" s="37" t="s">
        <v>17</v>
      </c>
      <c r="Q194" s="13" t="s">
        <v>89</v>
      </c>
      <c r="R194" s="37">
        <v>3.0056000000000003</v>
      </c>
      <c r="S194" s="13" t="s">
        <v>136</v>
      </c>
      <c r="T194" s="38" t="str">
        <f t="shared" si="287"/>
        <v>0.00</v>
      </c>
      <c r="U194" s="38">
        <f t="shared" si="502"/>
        <v>-0.2</v>
      </c>
      <c r="V194" s="38">
        <f t="shared" si="503"/>
        <v>-20.213319999999996</v>
      </c>
      <c r="W194" s="38">
        <f t="shared" si="504"/>
        <v>93.000000000000028</v>
      </c>
      <c r="X194" s="39">
        <f t="shared" si="505"/>
        <v>-0.21734752688172032</v>
      </c>
      <c r="Y194" s="40">
        <f t="shared" si="506"/>
        <v>-0.20213319999999996</v>
      </c>
      <c r="Z194" s="41">
        <f t="shared" si="507"/>
        <v>-2021.3319999999997</v>
      </c>
      <c r="AA194" s="13" t="s">
        <v>57</v>
      </c>
      <c r="AT194" s="37">
        <v>3.2</v>
      </c>
      <c r="AU194" s="37">
        <v>3.2</v>
      </c>
      <c r="AV194" s="10">
        <f t="shared" si="288"/>
        <v>0.43600000000000011</v>
      </c>
      <c r="AW194" s="10">
        <f t="shared" si="508"/>
        <v>3.0056000000000003</v>
      </c>
      <c r="AZ194" t="str">
        <f t="shared" si="509"/>
        <v>Yes</v>
      </c>
      <c r="BB194" s="37">
        <f t="shared" si="510"/>
        <v>-0.2</v>
      </c>
      <c r="BC194" s="37">
        <f t="shared" si="427"/>
        <v>-1.2</v>
      </c>
      <c r="BD194" s="37">
        <f t="shared" si="500"/>
        <v>-1.2</v>
      </c>
      <c r="BE194" s="37">
        <f t="shared" si="501"/>
        <v>-0.2</v>
      </c>
      <c r="BF194" s="13" cm="1">
        <f t="array" ref="BF194">SUMPRODUCT((1/COUNTIFS($A$3:$A194,$A$3:$A194,$H$3:$H194,$H$3:$H194,$I$3:$I194,$I$3:$I194)))</f>
        <v>92.000000000000028</v>
      </c>
    </row>
    <row r="195" spans="1:58" x14ac:dyDescent="0.2">
      <c r="A195" s="91">
        <v>46298</v>
      </c>
      <c r="C195" s="37">
        <v>11.08</v>
      </c>
      <c r="D195" s="13" t="s">
        <v>205</v>
      </c>
      <c r="E195" s="13" t="s">
        <v>142</v>
      </c>
      <c r="H195" t="s">
        <v>141</v>
      </c>
      <c r="I195" s="13">
        <v>9</v>
      </c>
      <c r="J195" s="13">
        <v>3</v>
      </c>
      <c r="K195" t="s">
        <v>400</v>
      </c>
      <c r="L195" s="37">
        <v>0.5</v>
      </c>
      <c r="M195" s="37">
        <v>21</v>
      </c>
      <c r="N195" s="37">
        <v>21</v>
      </c>
      <c r="O195" s="37" t="s">
        <v>17</v>
      </c>
      <c r="Q195" s="13" t="s">
        <v>4</v>
      </c>
      <c r="R195" s="37">
        <v>19.400000000000002</v>
      </c>
      <c r="S195" s="13" t="s">
        <v>136</v>
      </c>
      <c r="T195" s="38" t="str">
        <f t="shared" si="287"/>
        <v>0.00</v>
      </c>
      <c r="U195" s="38">
        <f t="shared" ref="U195:U198" si="511">BE195</f>
        <v>-0.5</v>
      </c>
      <c r="V195" s="38">
        <f t="shared" ref="V195:V198" si="512">V194+U195</f>
        <v>-20.713319999999996</v>
      </c>
      <c r="W195" s="38">
        <f t="shared" ref="W195:W198" si="513">W194+L195</f>
        <v>93.500000000000028</v>
      </c>
      <c r="X195" s="39">
        <f t="shared" ref="X195:X198" si="514">SUM(V195/W195)</f>
        <v>-0.22153283422459882</v>
      </c>
      <c r="Y195" s="40">
        <f t="shared" ref="Y195:Y198" si="515">V195/100</f>
        <v>-0.20713319999999996</v>
      </c>
      <c r="Z195" s="41">
        <f t="shared" ref="Z195:Z198" si="516">V195*100</f>
        <v>-2071.3319999999994</v>
      </c>
      <c r="AA195" s="13" t="s">
        <v>57</v>
      </c>
      <c r="AT195" s="37">
        <v>18</v>
      </c>
      <c r="AU195" s="37">
        <v>16</v>
      </c>
      <c r="AV195" s="10">
        <f t="shared" si="288"/>
        <v>10</v>
      </c>
      <c r="AW195" s="10">
        <f t="shared" ref="AW195:AW198" si="517">0.92*(N195-1)+1</f>
        <v>19.400000000000002</v>
      </c>
      <c r="AZ195" t="str">
        <f t="shared" ref="AZ195:AZ198" si="518">IF(N195&gt;=M195,"Yes","No")</f>
        <v>Yes</v>
      </c>
      <c r="BB195" s="37">
        <f t="shared" ref="BB195:BB198" si="519">IF(AA195="W",
   L195*(N195-1),
   -L195
)</f>
        <v>-0.5</v>
      </c>
      <c r="BC195" s="37">
        <f t="shared" si="427"/>
        <v>-1.7</v>
      </c>
      <c r="BD195" s="37">
        <f t="shared" ref="BD195:BD198" si="520">IF(BC195&gt;0, BC195*0.92, BC195)</f>
        <v>-1.7</v>
      </c>
      <c r="BE195" s="37">
        <f t="shared" ref="BE195:BE198" si="521">IF(
  BC195&gt;0,
  IF(
    AA195="W",
    BB195 - (BC195 - BD195),
    BB195
  ),
  BB195
)</f>
        <v>-0.5</v>
      </c>
      <c r="BF195" s="13" cm="1">
        <f t="array" ref="BF195">SUMPRODUCT((1/COUNTIFS($A$3:$A195,$A$3:$A195,$H$3:$H195,$H$3:$H195,$I$3:$I195,$I$3:$I195)))</f>
        <v>93.000000000000028</v>
      </c>
    </row>
    <row r="196" spans="1:58" x14ac:dyDescent="0.2">
      <c r="A196" s="91">
        <v>46298</v>
      </c>
      <c r="C196" s="37">
        <v>11.08</v>
      </c>
      <c r="D196" s="13" t="s">
        <v>205</v>
      </c>
      <c r="E196" s="13" t="s">
        <v>142</v>
      </c>
      <c r="H196" t="s">
        <v>141</v>
      </c>
      <c r="I196" s="13">
        <v>9</v>
      </c>
      <c r="J196" s="13">
        <v>7</v>
      </c>
      <c r="K196" t="s">
        <v>156</v>
      </c>
      <c r="L196" s="37">
        <v>0.5</v>
      </c>
      <c r="M196" s="37">
        <v>12.5</v>
      </c>
      <c r="N196" s="37">
        <v>15.5</v>
      </c>
      <c r="O196" s="37" t="s">
        <v>17</v>
      </c>
      <c r="Q196" s="13" t="s">
        <v>4</v>
      </c>
      <c r="R196" s="37">
        <v>14.34</v>
      </c>
      <c r="S196" s="13" t="s">
        <v>136</v>
      </c>
      <c r="T196" s="38" t="str">
        <f t="shared" si="287"/>
        <v>0.00</v>
      </c>
      <c r="U196" s="38">
        <f t="shared" si="511"/>
        <v>-0.5</v>
      </c>
      <c r="V196" s="38">
        <f t="shared" si="512"/>
        <v>-21.213319999999996</v>
      </c>
      <c r="W196" s="38">
        <f t="shared" si="513"/>
        <v>94.000000000000028</v>
      </c>
      <c r="X196" s="39">
        <f t="shared" si="514"/>
        <v>-0.22567361702127647</v>
      </c>
      <c r="Y196" s="40">
        <f t="shared" si="515"/>
        <v>-0.21213319999999997</v>
      </c>
      <c r="Z196" s="41">
        <f t="shared" si="516"/>
        <v>-2121.3319999999994</v>
      </c>
      <c r="AA196" s="13" t="s">
        <v>57</v>
      </c>
      <c r="AT196" s="37">
        <v>14</v>
      </c>
      <c r="AU196" s="37">
        <v>11</v>
      </c>
      <c r="AV196" s="10">
        <f t="shared" si="288"/>
        <v>7.25</v>
      </c>
      <c r="AW196" s="10">
        <f t="shared" si="517"/>
        <v>14.34</v>
      </c>
      <c r="AZ196" t="str">
        <f t="shared" si="518"/>
        <v>Yes</v>
      </c>
      <c r="BB196" s="37">
        <f t="shared" si="519"/>
        <v>-0.5</v>
      </c>
      <c r="BC196" s="37">
        <f t="shared" si="427"/>
        <v>-1.7</v>
      </c>
      <c r="BD196" s="37">
        <f t="shared" si="520"/>
        <v>-1.7</v>
      </c>
      <c r="BE196" s="37">
        <f t="shared" si="521"/>
        <v>-0.5</v>
      </c>
      <c r="BF196" s="13" cm="1">
        <f t="array" ref="BF196">SUMPRODUCT((1/COUNTIFS($A$3:$A196,$A$3:$A196,$H$3:$H196,$H$3:$H196,$I$3:$I196,$I$3:$I196)))</f>
        <v>93.000000000000028</v>
      </c>
    </row>
    <row r="197" spans="1:58" x14ac:dyDescent="0.2">
      <c r="A197" s="91">
        <v>46298</v>
      </c>
      <c r="C197" s="37">
        <v>11.08</v>
      </c>
      <c r="D197" s="13" t="s">
        <v>205</v>
      </c>
      <c r="E197" s="13" t="s">
        <v>142</v>
      </c>
      <c r="H197" t="s">
        <v>141</v>
      </c>
      <c r="I197" s="13">
        <v>9</v>
      </c>
      <c r="J197" s="13">
        <v>7</v>
      </c>
      <c r="K197" t="s">
        <v>156</v>
      </c>
      <c r="L197" s="37">
        <v>0.2</v>
      </c>
      <c r="M197" s="37">
        <v>4</v>
      </c>
      <c r="N197" s="37">
        <v>4.3899999999999997</v>
      </c>
      <c r="O197" s="37" t="s">
        <v>17</v>
      </c>
      <c r="Q197" s="13" t="s">
        <v>89</v>
      </c>
      <c r="R197" s="37">
        <v>4.1188000000000002</v>
      </c>
      <c r="S197" s="13" t="s">
        <v>136</v>
      </c>
      <c r="T197" s="38" t="str">
        <f t="shared" si="287"/>
        <v>0.00</v>
      </c>
      <c r="U197" s="38">
        <f t="shared" si="511"/>
        <v>-0.2</v>
      </c>
      <c r="V197" s="38">
        <f t="shared" si="512"/>
        <v>-21.413319999999995</v>
      </c>
      <c r="W197" s="38">
        <f t="shared" si="513"/>
        <v>94.200000000000031</v>
      </c>
      <c r="X197" s="39">
        <f t="shared" si="514"/>
        <v>-0.22731762208067927</v>
      </c>
      <c r="Y197" s="40">
        <f t="shared" si="515"/>
        <v>-0.21413319999999994</v>
      </c>
      <c r="Z197" s="41">
        <f t="shared" si="516"/>
        <v>-2141.3319999999994</v>
      </c>
      <c r="AA197" s="13" t="s">
        <v>57</v>
      </c>
      <c r="AT197" s="37">
        <v>3.7</v>
      </c>
      <c r="AU197" s="37">
        <v>3.7</v>
      </c>
      <c r="AV197" s="10">
        <f t="shared" ref="AV197:AV260" si="522">((N197*(L197))-(L197))</f>
        <v>0.67799999999999994</v>
      </c>
      <c r="AW197" s="10">
        <f t="shared" si="517"/>
        <v>4.1188000000000002</v>
      </c>
      <c r="AZ197" t="str">
        <f t="shared" si="518"/>
        <v>Yes</v>
      </c>
      <c r="BB197" s="37">
        <f t="shared" si="519"/>
        <v>-0.2</v>
      </c>
      <c r="BC197" s="37">
        <f t="shared" si="427"/>
        <v>-1.7</v>
      </c>
      <c r="BD197" s="37">
        <f t="shared" si="520"/>
        <v>-1.7</v>
      </c>
      <c r="BE197" s="37">
        <f t="shared" si="521"/>
        <v>-0.2</v>
      </c>
      <c r="BF197" s="13" cm="1">
        <f t="array" ref="BF197">SUMPRODUCT((1/COUNTIFS($A$3:$A197,$A$3:$A197,$H$3:$H197,$H$3:$H197,$I$3:$I197,$I$3:$I197)))</f>
        <v>93.000000000000014</v>
      </c>
    </row>
    <row r="198" spans="1:58" x14ac:dyDescent="0.2">
      <c r="A198" s="91">
        <v>46298</v>
      </c>
      <c r="C198" s="37">
        <v>11.08</v>
      </c>
      <c r="D198" s="13" t="s">
        <v>205</v>
      </c>
      <c r="E198" s="13" t="s">
        <v>142</v>
      </c>
      <c r="H198" t="s">
        <v>141</v>
      </c>
      <c r="I198" s="13">
        <v>9</v>
      </c>
      <c r="J198" s="13">
        <v>8</v>
      </c>
      <c r="K198" t="s">
        <v>402</v>
      </c>
      <c r="L198" s="37">
        <v>0.5</v>
      </c>
      <c r="M198" s="37">
        <v>12</v>
      </c>
      <c r="N198" s="37">
        <v>12</v>
      </c>
      <c r="O198" s="37" t="s">
        <v>17</v>
      </c>
      <c r="Q198" s="13" t="s">
        <v>4</v>
      </c>
      <c r="R198" s="37">
        <v>11.120000000000001</v>
      </c>
      <c r="S198" s="13" t="s">
        <v>136</v>
      </c>
      <c r="T198" s="38" t="str">
        <f t="shared" si="287"/>
        <v>0.00</v>
      </c>
      <c r="U198" s="38">
        <f t="shared" si="511"/>
        <v>-0.5</v>
      </c>
      <c r="V198" s="38">
        <f t="shared" si="512"/>
        <v>-21.913319999999995</v>
      </c>
      <c r="W198" s="38">
        <f t="shared" si="513"/>
        <v>94.700000000000031</v>
      </c>
      <c r="X198" s="39">
        <f t="shared" si="514"/>
        <v>-0.23139725448785625</v>
      </c>
      <c r="Y198" s="40">
        <f t="shared" si="515"/>
        <v>-0.21913319999999994</v>
      </c>
      <c r="Z198" s="41">
        <f t="shared" si="516"/>
        <v>-2191.3319999999994</v>
      </c>
      <c r="AA198" s="13" t="s">
        <v>57</v>
      </c>
      <c r="AT198" s="37">
        <v>10.7</v>
      </c>
      <c r="AU198" s="37">
        <v>12</v>
      </c>
      <c r="AV198" s="10">
        <f t="shared" si="522"/>
        <v>5.5</v>
      </c>
      <c r="AW198" s="10">
        <f t="shared" si="517"/>
        <v>11.120000000000001</v>
      </c>
      <c r="AZ198" t="str">
        <f t="shared" si="518"/>
        <v>Yes</v>
      </c>
      <c r="BB198" s="37">
        <f t="shared" si="519"/>
        <v>-0.5</v>
      </c>
      <c r="BC198" s="37">
        <f t="shared" si="427"/>
        <v>-1.7</v>
      </c>
      <c r="BD198" s="37">
        <f t="shared" si="520"/>
        <v>-1.7</v>
      </c>
      <c r="BE198" s="37">
        <f t="shared" si="521"/>
        <v>-0.5</v>
      </c>
      <c r="BF198" s="13" cm="1">
        <f t="array" ref="BF198">SUMPRODUCT((1/COUNTIFS($A$3:$A198,$A$3:$A198,$H$3:$H198,$H$3:$H198,$I$3:$I198,$I$3:$I198)))</f>
        <v>93.000000000000028</v>
      </c>
    </row>
    <row r="199" spans="1:58" x14ac:dyDescent="0.2">
      <c r="A199" s="91">
        <v>46298</v>
      </c>
      <c r="C199" s="37">
        <v>11.08</v>
      </c>
      <c r="D199" s="13" t="s">
        <v>205</v>
      </c>
      <c r="E199" s="13" t="s">
        <v>134</v>
      </c>
      <c r="H199" t="s">
        <v>138</v>
      </c>
      <c r="I199" s="13">
        <v>9</v>
      </c>
      <c r="J199" s="13">
        <v>1</v>
      </c>
      <c r="K199" t="s">
        <v>320</v>
      </c>
      <c r="L199" s="37">
        <v>0.5</v>
      </c>
      <c r="M199" s="37">
        <v>22</v>
      </c>
      <c r="N199" s="37">
        <v>30</v>
      </c>
      <c r="O199" s="37" t="s">
        <v>17</v>
      </c>
      <c r="Q199" s="13" t="s">
        <v>4</v>
      </c>
      <c r="R199" s="37">
        <v>27.68</v>
      </c>
      <c r="S199" s="13" t="s">
        <v>136</v>
      </c>
      <c r="T199" s="38" t="str">
        <f t="shared" si="287"/>
        <v>0.00</v>
      </c>
      <c r="U199" s="38">
        <f t="shared" ref="U199:U201" si="523">BE199</f>
        <v>-0.5</v>
      </c>
      <c r="V199" s="38">
        <f t="shared" ref="V199:V201" si="524">V198+U199</f>
        <v>-22.413319999999995</v>
      </c>
      <c r="W199" s="38">
        <f t="shared" ref="W199:W201" si="525">W198+L199</f>
        <v>95.200000000000031</v>
      </c>
      <c r="X199" s="39">
        <f t="shared" ref="X199:X201" si="526">SUM(V199/W199)</f>
        <v>-0.23543403361344525</v>
      </c>
      <c r="Y199" s="40">
        <f t="shared" ref="Y199:Y201" si="527">V199/100</f>
        <v>-0.22413319999999995</v>
      </c>
      <c r="Z199" s="41">
        <f t="shared" ref="Z199:Z201" si="528">V199*100</f>
        <v>-2241.3319999999994</v>
      </c>
      <c r="AA199" s="13" t="s">
        <v>57</v>
      </c>
      <c r="AT199" s="37">
        <v>22</v>
      </c>
      <c r="AU199" s="37">
        <v>18</v>
      </c>
      <c r="AV199" s="10">
        <f t="shared" si="522"/>
        <v>14.5</v>
      </c>
      <c r="AW199" s="10">
        <f t="shared" ref="AW199:AW201" si="529">0.92*(N199-1)+1</f>
        <v>27.68</v>
      </c>
      <c r="AZ199" t="str">
        <f t="shared" ref="AZ199:AZ201" si="530">IF(N199&gt;=M199,"Yes","No")</f>
        <v>Yes</v>
      </c>
      <c r="BB199" s="37">
        <f t="shared" ref="BB199:BB201" si="531">IF(AA199="W",
   L199*(N199-1),
   -L199
)</f>
        <v>-0.5</v>
      </c>
      <c r="BC199" s="37">
        <f t="shared" si="427"/>
        <v>-1.5</v>
      </c>
      <c r="BD199" s="37">
        <f t="shared" ref="BD199:BD201" si="532">IF(BC199&gt;0, BC199*0.92, BC199)</f>
        <v>-1.5</v>
      </c>
      <c r="BE199" s="37">
        <f t="shared" ref="BE199:BE201" si="533">IF(
  BC199&gt;0,
  IF(
    AA199="W",
    BB199 - (BC199 - BD199),
    BB199
  ),
  BB199
)</f>
        <v>-0.5</v>
      </c>
      <c r="BF199" s="13" cm="1">
        <f t="array" ref="BF199">SUMPRODUCT((1/COUNTIFS($A$3:$A199,$A$3:$A199,$H$3:$H199,$H$3:$H199,$I$3:$I199,$I$3:$I199)))</f>
        <v>94.000000000000028</v>
      </c>
    </row>
    <row r="200" spans="1:58" x14ac:dyDescent="0.2">
      <c r="A200" s="91">
        <v>46298</v>
      </c>
      <c r="C200" s="37">
        <v>11.08</v>
      </c>
      <c r="D200" s="13" t="s">
        <v>205</v>
      </c>
      <c r="E200" s="13" t="s">
        <v>134</v>
      </c>
      <c r="H200" t="s">
        <v>138</v>
      </c>
      <c r="I200" s="13">
        <v>9</v>
      </c>
      <c r="J200" s="13">
        <v>12</v>
      </c>
      <c r="K200" s="92" t="s">
        <v>405</v>
      </c>
      <c r="L200" s="37">
        <v>0.5</v>
      </c>
      <c r="M200" s="37">
        <v>19</v>
      </c>
      <c r="N200" s="37">
        <v>19</v>
      </c>
      <c r="O200" s="37" t="s">
        <v>17</v>
      </c>
      <c r="Q200" s="13" t="s">
        <v>4</v>
      </c>
      <c r="R200" s="37">
        <v>17.560000000000002</v>
      </c>
      <c r="S200" s="13">
        <v>3</v>
      </c>
      <c r="T200" s="38" t="str">
        <f t="shared" ref="T200:T283" si="534">IF(($AA200="W"),ROUND(($L200*$R200),2),"0.00")</f>
        <v>0.00</v>
      </c>
      <c r="U200" s="38">
        <f t="shared" si="523"/>
        <v>-0.5</v>
      </c>
      <c r="V200" s="38">
        <f t="shared" si="524"/>
        <v>-22.913319999999995</v>
      </c>
      <c r="W200" s="38">
        <f t="shared" si="525"/>
        <v>95.700000000000031</v>
      </c>
      <c r="X200" s="39">
        <f t="shared" si="526"/>
        <v>-0.23942863113897583</v>
      </c>
      <c r="Y200" s="40">
        <f t="shared" si="527"/>
        <v>-0.22913319999999995</v>
      </c>
      <c r="Z200" s="41">
        <f t="shared" si="528"/>
        <v>-2291.3319999999994</v>
      </c>
      <c r="AA200" s="13" t="s">
        <v>57</v>
      </c>
      <c r="AT200" s="37">
        <v>17</v>
      </c>
      <c r="AU200" s="37">
        <v>19</v>
      </c>
      <c r="AV200" s="10">
        <f t="shared" si="522"/>
        <v>9</v>
      </c>
      <c r="AW200" s="10">
        <f t="shared" si="529"/>
        <v>17.560000000000002</v>
      </c>
      <c r="AZ200" t="str">
        <f t="shared" si="530"/>
        <v>Yes</v>
      </c>
      <c r="BB200" s="37">
        <f t="shared" si="531"/>
        <v>-0.5</v>
      </c>
      <c r="BC200" s="37">
        <f t="shared" si="427"/>
        <v>-1.5</v>
      </c>
      <c r="BD200" s="37">
        <f t="shared" si="532"/>
        <v>-1.5</v>
      </c>
      <c r="BE200" s="37">
        <f t="shared" si="533"/>
        <v>-0.5</v>
      </c>
      <c r="BF200" s="13" cm="1">
        <f t="array" ref="BF200">SUMPRODUCT((1/COUNTIFS($A$3:$A200,$A$3:$A200,$H$3:$H200,$H$3:$H200,$I$3:$I200,$I$3:$I200)))</f>
        <v>94.000000000000028</v>
      </c>
    </row>
    <row r="201" spans="1:58" x14ac:dyDescent="0.2">
      <c r="A201" s="91">
        <v>46298</v>
      </c>
      <c r="C201" s="37">
        <v>11.08</v>
      </c>
      <c r="D201" s="13" t="s">
        <v>205</v>
      </c>
      <c r="E201" s="13" t="s">
        <v>134</v>
      </c>
      <c r="H201" t="s">
        <v>138</v>
      </c>
      <c r="I201" s="13">
        <v>9</v>
      </c>
      <c r="J201" s="13">
        <v>13</v>
      </c>
      <c r="K201" s="99" t="s">
        <v>248</v>
      </c>
      <c r="L201" s="37">
        <v>0.5</v>
      </c>
      <c r="M201" s="37">
        <v>18</v>
      </c>
      <c r="N201" s="37">
        <v>21.67</v>
      </c>
      <c r="O201" s="37" t="s">
        <v>17</v>
      </c>
      <c r="Q201" s="13" t="s">
        <v>4</v>
      </c>
      <c r="R201" s="37">
        <v>20.016400000000001</v>
      </c>
      <c r="S201" s="13">
        <v>2</v>
      </c>
      <c r="T201" s="38" t="str">
        <f t="shared" si="534"/>
        <v>0.00</v>
      </c>
      <c r="U201" s="38">
        <f t="shared" si="523"/>
        <v>-0.5</v>
      </c>
      <c r="V201" s="38">
        <f t="shared" si="524"/>
        <v>-23.413319999999995</v>
      </c>
      <c r="W201" s="38">
        <f t="shared" si="525"/>
        <v>96.200000000000031</v>
      </c>
      <c r="X201" s="39">
        <f t="shared" si="526"/>
        <v>-0.24338170478170465</v>
      </c>
      <c r="Y201" s="40">
        <f t="shared" si="527"/>
        <v>-0.23413319999999996</v>
      </c>
      <c r="Z201" s="41">
        <f t="shared" si="528"/>
        <v>-2341.3319999999994</v>
      </c>
      <c r="AA201" s="13" t="s">
        <v>57</v>
      </c>
      <c r="AT201" s="37">
        <v>18.899999999999999</v>
      </c>
      <c r="AU201" s="37">
        <v>16</v>
      </c>
      <c r="AV201" s="10">
        <f t="shared" si="522"/>
        <v>10.335000000000001</v>
      </c>
      <c r="AW201" s="10">
        <f t="shared" si="529"/>
        <v>20.016400000000001</v>
      </c>
      <c r="AZ201" t="str">
        <f t="shared" si="530"/>
        <v>Yes</v>
      </c>
      <c r="BB201" s="37">
        <f t="shared" si="531"/>
        <v>-0.5</v>
      </c>
      <c r="BC201" s="37">
        <f t="shared" si="427"/>
        <v>-1.5</v>
      </c>
      <c r="BD201" s="37">
        <f t="shared" si="532"/>
        <v>-1.5</v>
      </c>
      <c r="BE201" s="37">
        <f t="shared" si="533"/>
        <v>-0.5</v>
      </c>
      <c r="BF201" s="13" cm="1">
        <f t="array" ref="BF201">SUMPRODUCT((1/COUNTIFS($A$3:$A201,$A$3:$A201,$H$3:$H201,$H$3:$H201,$I$3:$I201,$I$3:$I201)))</f>
        <v>94.000000000000014</v>
      </c>
    </row>
    <row r="202" spans="1:58" x14ac:dyDescent="0.2">
      <c r="A202" s="91">
        <v>46298</v>
      </c>
      <c r="C202" s="37">
        <v>11.08</v>
      </c>
      <c r="D202" s="13" t="s">
        <v>205</v>
      </c>
      <c r="E202" s="13" t="s">
        <v>142</v>
      </c>
      <c r="H202" t="s">
        <v>141</v>
      </c>
      <c r="I202" s="13">
        <v>10</v>
      </c>
      <c r="J202" s="13">
        <v>1</v>
      </c>
      <c r="K202" t="s">
        <v>406</v>
      </c>
      <c r="L202" s="37">
        <v>0.5</v>
      </c>
      <c r="M202" s="37">
        <v>24</v>
      </c>
      <c r="N202" s="37">
        <v>24</v>
      </c>
      <c r="O202" s="37" t="s">
        <v>17</v>
      </c>
      <c r="Q202" s="13" t="s">
        <v>4</v>
      </c>
      <c r="R202" s="37">
        <v>22.16</v>
      </c>
      <c r="S202" s="13" t="s">
        <v>136</v>
      </c>
      <c r="T202" s="38" t="str">
        <f t="shared" si="534"/>
        <v>0.00</v>
      </c>
      <c r="U202" s="38">
        <f t="shared" ref="U202:U203" si="535">BE202</f>
        <v>-0.5</v>
      </c>
      <c r="V202" s="38">
        <f t="shared" ref="V202:V203" si="536">V201+U202</f>
        <v>-23.913319999999995</v>
      </c>
      <c r="W202" s="38">
        <f t="shared" ref="W202:W203" si="537">W201+L202</f>
        <v>96.700000000000031</v>
      </c>
      <c r="X202" s="39">
        <f t="shared" ref="X202:X203" si="538">SUM(V202/W202)</f>
        <v>-0.24729389865563586</v>
      </c>
      <c r="Y202" s="40">
        <f t="shared" ref="Y202:Y203" si="539">V202/100</f>
        <v>-0.23913319999999996</v>
      </c>
      <c r="Z202" s="41">
        <f t="shared" ref="Z202:Z203" si="540">V202*100</f>
        <v>-2391.3319999999994</v>
      </c>
      <c r="AA202" s="13" t="s">
        <v>57</v>
      </c>
      <c r="AT202" s="37">
        <v>19.7</v>
      </c>
      <c r="AU202" s="37">
        <v>17</v>
      </c>
      <c r="AV202" s="10">
        <f t="shared" si="522"/>
        <v>11.5</v>
      </c>
      <c r="AW202" s="10">
        <f t="shared" ref="AW202:AW203" si="541">0.92*(N202-1)+1</f>
        <v>22.16</v>
      </c>
      <c r="AZ202" t="str">
        <f t="shared" ref="AZ202:AZ203" si="542">IF(N202&gt;=M202,"Yes","No")</f>
        <v>Yes</v>
      </c>
      <c r="BB202" s="37">
        <f t="shared" ref="BB202:BB203" si="543">IF(AA202="W",
   L202*(N202-1),
   -L202
)</f>
        <v>-0.5</v>
      </c>
      <c r="BC202" s="37">
        <f t="shared" si="427"/>
        <v>-1</v>
      </c>
      <c r="BD202" s="37">
        <f t="shared" ref="BD202:BD203" si="544">IF(BC202&gt;0, BC202*0.92, BC202)</f>
        <v>-1</v>
      </c>
      <c r="BE202" s="37">
        <f t="shared" ref="BE202:BE203" si="545">IF(
  BC202&gt;0,
  IF(
    AA202="W",
    BB202 - (BC202 - BD202),
    BB202
  ),
  BB202
)</f>
        <v>-0.5</v>
      </c>
      <c r="BF202" s="13" cm="1">
        <f t="array" ref="BF202">SUMPRODUCT((1/COUNTIFS($A$3:$A202,$A$3:$A202,$H$3:$H202,$H$3:$H202,$I$3:$I202,$I$3:$I202)))</f>
        <v>95.000000000000014</v>
      </c>
    </row>
    <row r="203" spans="1:58" x14ac:dyDescent="0.2">
      <c r="A203" s="91">
        <v>46298</v>
      </c>
      <c r="C203" s="37">
        <v>11.08</v>
      </c>
      <c r="D203" s="13" t="s">
        <v>205</v>
      </c>
      <c r="E203" s="13" t="s">
        <v>142</v>
      </c>
      <c r="H203" t="s">
        <v>141</v>
      </c>
      <c r="I203" s="13">
        <v>10</v>
      </c>
      <c r="J203" s="13">
        <v>3</v>
      </c>
      <c r="K203" t="s">
        <v>407</v>
      </c>
      <c r="L203" s="37">
        <v>0.5</v>
      </c>
      <c r="M203" s="37">
        <v>25</v>
      </c>
      <c r="N203" s="37">
        <v>25.86</v>
      </c>
      <c r="O203" s="37" t="s">
        <v>17</v>
      </c>
      <c r="Q203" s="13" t="s">
        <v>4</v>
      </c>
      <c r="R203" s="37">
        <v>23.871200000000002</v>
      </c>
      <c r="S203" s="13" t="s">
        <v>136</v>
      </c>
      <c r="T203" s="38" t="str">
        <f t="shared" si="534"/>
        <v>0.00</v>
      </c>
      <c r="U203" s="38">
        <f t="shared" si="535"/>
        <v>-0.5</v>
      </c>
      <c r="V203" s="38">
        <f t="shared" si="536"/>
        <v>-24.413319999999995</v>
      </c>
      <c r="W203" s="38">
        <f t="shared" si="537"/>
        <v>97.200000000000031</v>
      </c>
      <c r="X203" s="39">
        <f t="shared" si="538"/>
        <v>-0.25116584362139904</v>
      </c>
      <c r="Y203" s="40">
        <f t="shared" si="539"/>
        <v>-0.24413319999999994</v>
      </c>
      <c r="Z203" s="41">
        <f t="shared" si="540"/>
        <v>-2441.3319999999994</v>
      </c>
      <c r="AA203" s="13" t="s">
        <v>57</v>
      </c>
      <c r="AT203" s="37">
        <v>21.6</v>
      </c>
      <c r="AU203" s="37">
        <v>21</v>
      </c>
      <c r="AV203" s="10">
        <f t="shared" si="522"/>
        <v>12.43</v>
      </c>
      <c r="AW203" s="10">
        <f t="shared" si="541"/>
        <v>23.871200000000002</v>
      </c>
      <c r="AZ203" t="str">
        <f t="shared" si="542"/>
        <v>Yes</v>
      </c>
      <c r="BB203" s="37">
        <f t="shared" si="543"/>
        <v>-0.5</v>
      </c>
      <c r="BC203" s="37">
        <f t="shared" si="427"/>
        <v>-1</v>
      </c>
      <c r="BD203" s="37">
        <f t="shared" si="544"/>
        <v>-1</v>
      </c>
      <c r="BE203" s="37">
        <f t="shared" si="545"/>
        <v>-0.5</v>
      </c>
      <c r="BF203" s="13" cm="1">
        <f t="array" ref="BF203">SUMPRODUCT((1/COUNTIFS($A$3:$A203,$A$3:$A203,$H$3:$H203,$H$3:$H203,$I$3:$I203,$I$3:$I203)))</f>
        <v>95.000000000000014</v>
      </c>
    </row>
    <row r="204" spans="1:58" x14ac:dyDescent="0.2">
      <c r="A204" s="91">
        <v>46298</v>
      </c>
      <c r="C204" s="37">
        <v>11.08</v>
      </c>
      <c r="D204" s="13" t="s">
        <v>205</v>
      </c>
      <c r="E204" s="13" t="s">
        <v>142</v>
      </c>
      <c r="H204" t="s">
        <v>138</v>
      </c>
      <c r="I204" s="13">
        <v>10</v>
      </c>
      <c r="J204" s="13">
        <v>2</v>
      </c>
      <c r="K204" s="101" t="s">
        <v>408</v>
      </c>
      <c r="L204" s="37">
        <v>0.5</v>
      </c>
      <c r="M204" s="37">
        <v>19</v>
      </c>
      <c r="N204" s="37">
        <v>19.2</v>
      </c>
      <c r="O204" s="37" t="s">
        <v>17</v>
      </c>
      <c r="Q204" s="13" t="s">
        <v>4</v>
      </c>
      <c r="R204" s="37">
        <v>17.744</v>
      </c>
      <c r="S204" s="13">
        <v>1</v>
      </c>
      <c r="T204" s="38">
        <f t="shared" si="534"/>
        <v>8.8699999999999992</v>
      </c>
      <c r="U204" s="38">
        <f t="shared" ref="U204" si="546">BE204</f>
        <v>8.3719999999999999</v>
      </c>
      <c r="V204" s="38">
        <f t="shared" ref="V204" si="547">V203+U204</f>
        <v>-16.041319999999995</v>
      </c>
      <c r="W204" s="38">
        <f t="shared" ref="W204" si="548">W203+L204</f>
        <v>97.700000000000031</v>
      </c>
      <c r="X204" s="39">
        <f t="shared" ref="X204" si="549">SUM(V204/W204)</f>
        <v>-0.16418955987717493</v>
      </c>
      <c r="Y204" s="40">
        <f t="shared" ref="Y204" si="550">V204/100</f>
        <v>-0.16041319999999995</v>
      </c>
      <c r="Z204" s="41">
        <f t="shared" ref="Z204" si="551">V204*100</f>
        <v>-1604.1319999999996</v>
      </c>
      <c r="AA204" s="13" t="s">
        <v>206</v>
      </c>
      <c r="AT204" s="37">
        <v>19.7</v>
      </c>
      <c r="AU204" s="37">
        <v>17</v>
      </c>
      <c r="AV204" s="10">
        <f t="shared" si="522"/>
        <v>9.1</v>
      </c>
      <c r="AW204" s="10">
        <f t="shared" ref="AW204" si="552">0.92*(N204-1)+1</f>
        <v>17.744</v>
      </c>
      <c r="AZ204" t="str">
        <f t="shared" ref="AZ204" si="553">IF(N204&gt;=M204,"Yes","No")</f>
        <v>Yes</v>
      </c>
      <c r="BB204" s="37">
        <f t="shared" ref="BB204" si="554">IF(AA204="W",
   L204*(N204-1),
   -L204
)</f>
        <v>9.1</v>
      </c>
      <c r="BC204" s="37">
        <f t="shared" si="427"/>
        <v>9.1</v>
      </c>
      <c r="BD204" s="37">
        <f t="shared" ref="BD204" si="555">IF(BC204&gt;0, BC204*0.92, BC204)</f>
        <v>8.3719999999999999</v>
      </c>
      <c r="BE204" s="37">
        <f t="shared" ref="BE204" si="556">IF(
  BC204&gt;0,
  IF(
    AA204="W",
    BB204 - (BC204 - BD204),
    BB204
  ),
  BB204
)</f>
        <v>8.3719999999999999</v>
      </c>
      <c r="BF204" s="13" cm="1">
        <f t="array" ref="BF204">SUMPRODUCT((1/COUNTIFS($A$3:$A204,$A$3:$A204,$H$3:$H204,$H$3:$H204,$I$3:$I204,$I$3:$I204)))</f>
        <v>96.000000000000014</v>
      </c>
    </row>
    <row r="205" spans="1:58" x14ac:dyDescent="0.2">
      <c r="A205" s="91">
        <v>46300</v>
      </c>
      <c r="C205" s="37">
        <v>11.4</v>
      </c>
      <c r="D205" s="13" t="s">
        <v>433</v>
      </c>
      <c r="E205" s="13" t="s">
        <v>142</v>
      </c>
      <c r="H205" t="s">
        <v>140</v>
      </c>
      <c r="I205" s="13">
        <v>1</v>
      </c>
      <c r="J205" s="13">
        <v>4</v>
      </c>
      <c r="K205" t="s">
        <v>410</v>
      </c>
      <c r="L205" s="37">
        <v>0.5</v>
      </c>
      <c r="M205" s="37">
        <v>18.5</v>
      </c>
      <c r="N205" s="37">
        <v>18.5</v>
      </c>
      <c r="O205" s="37" t="s">
        <v>17</v>
      </c>
      <c r="Q205" s="13" t="s">
        <v>4</v>
      </c>
      <c r="R205" s="37">
        <v>17.100000000000001</v>
      </c>
      <c r="S205" s="13" t="s">
        <v>136</v>
      </c>
      <c r="T205" s="38" t="str">
        <f t="shared" si="534"/>
        <v>0.00</v>
      </c>
      <c r="U205" s="38">
        <f t="shared" ref="U205:U219" si="557">BE205</f>
        <v>-0.5</v>
      </c>
      <c r="V205" s="38">
        <f t="shared" ref="V205:V219" si="558">V204+U205</f>
        <v>-16.541319999999995</v>
      </c>
      <c r="W205" s="38">
        <f t="shared" ref="W205:W219" si="559">W204+L205</f>
        <v>98.200000000000031</v>
      </c>
      <c r="X205" s="39">
        <f t="shared" ref="X205:X219" si="560">SUM(V205/W205)</f>
        <v>-0.16844521384928707</v>
      </c>
      <c r="Y205" s="40">
        <f t="shared" ref="Y205:Y219" si="561">V205/100</f>
        <v>-0.16541319999999995</v>
      </c>
      <c r="Z205" s="41">
        <f t="shared" ref="Z205:Z219" si="562">V205*100</f>
        <v>-1654.1319999999996</v>
      </c>
      <c r="AA205" s="13" t="s">
        <v>57</v>
      </c>
      <c r="AT205" s="37">
        <v>18</v>
      </c>
      <c r="AU205" s="37">
        <v>17</v>
      </c>
      <c r="AV205" s="10">
        <f t="shared" si="522"/>
        <v>8.75</v>
      </c>
      <c r="AW205" s="10">
        <f t="shared" ref="AW205:AW219" si="563">0.92*(N205-1)+1</f>
        <v>17.100000000000001</v>
      </c>
      <c r="AZ205" t="str">
        <f t="shared" ref="AZ205:AZ219" si="564">IF(N205&gt;=M205,"Yes","No")</f>
        <v>Yes</v>
      </c>
      <c r="BB205" s="37">
        <f t="shared" ref="BB205:BB219" si="565">IF(AA205="W",
   L205*(N205-1),
   -L205
)</f>
        <v>-0.5</v>
      </c>
      <c r="BC205" s="37">
        <f t="shared" si="427"/>
        <v>-0.5</v>
      </c>
      <c r="BD205" s="37">
        <f t="shared" ref="BD205:BD219" si="566">IF(BC205&gt;0, BC205*0.92, BC205)</f>
        <v>-0.5</v>
      </c>
      <c r="BE205" s="37">
        <f t="shared" ref="BE205:BE219" si="567">IF(
  BC205&gt;0,
  IF(
    AA205="W",
    BB205 - (BC205 - BD205),
    BB205
  ),
  BB205
)</f>
        <v>-0.5</v>
      </c>
      <c r="BF205" s="13" cm="1">
        <f t="array" ref="BF205">SUMPRODUCT((1/COUNTIFS($A$3:$A205,$A$3:$A205,$H$3:$H205,$H$3:$H205,$I$3:$I205,$I$3:$I205)))</f>
        <v>97.000000000000014</v>
      </c>
    </row>
    <row r="206" spans="1:58" x14ac:dyDescent="0.2">
      <c r="A206" s="91">
        <v>46300</v>
      </c>
      <c r="C206" s="37">
        <v>11.4</v>
      </c>
      <c r="D206" s="13" t="s">
        <v>433</v>
      </c>
      <c r="E206" s="13" t="s">
        <v>142</v>
      </c>
      <c r="H206" t="s">
        <v>140</v>
      </c>
      <c r="I206" s="13">
        <v>3</v>
      </c>
      <c r="J206" s="13">
        <v>6</v>
      </c>
      <c r="K206" s="92" t="s">
        <v>301</v>
      </c>
      <c r="L206" s="37">
        <v>0.5</v>
      </c>
      <c r="M206" s="37">
        <v>13</v>
      </c>
      <c r="N206" s="37">
        <v>13.55</v>
      </c>
      <c r="O206" s="37" t="s">
        <v>17</v>
      </c>
      <c r="Q206" s="13" t="s">
        <v>4</v>
      </c>
      <c r="R206" s="37">
        <v>12.546000000000001</v>
      </c>
      <c r="S206" s="13">
        <v>3</v>
      </c>
      <c r="T206" s="38" t="str">
        <f t="shared" si="534"/>
        <v>0.00</v>
      </c>
      <c r="U206" s="38">
        <f t="shared" si="557"/>
        <v>-0.5</v>
      </c>
      <c r="V206" s="38">
        <f t="shared" si="558"/>
        <v>-17.041319999999995</v>
      </c>
      <c r="W206" s="38">
        <f t="shared" si="559"/>
        <v>98.700000000000031</v>
      </c>
      <c r="X206" s="39">
        <f t="shared" si="560"/>
        <v>-0.17265775075987833</v>
      </c>
      <c r="Y206" s="40">
        <f t="shared" si="561"/>
        <v>-0.17041319999999996</v>
      </c>
      <c r="Z206" s="41">
        <f t="shared" si="562"/>
        <v>-1704.1319999999996</v>
      </c>
      <c r="AA206" s="13" t="s">
        <v>57</v>
      </c>
      <c r="AT206" s="37">
        <v>10.8</v>
      </c>
      <c r="AU206" s="37">
        <v>16</v>
      </c>
      <c r="AV206" s="10">
        <f t="shared" si="522"/>
        <v>6.2750000000000004</v>
      </c>
      <c r="AW206" s="10">
        <f t="shared" si="563"/>
        <v>12.546000000000001</v>
      </c>
      <c r="AZ206" t="str">
        <f t="shared" si="564"/>
        <v>Yes</v>
      </c>
      <c r="BB206" s="37">
        <f t="shared" si="565"/>
        <v>-0.5</v>
      </c>
      <c r="BC206" s="37">
        <f t="shared" si="427"/>
        <v>-0.10399999999999998</v>
      </c>
      <c r="BD206" s="37">
        <f t="shared" si="566"/>
        <v>-0.10399999999999998</v>
      </c>
      <c r="BE206" s="37">
        <f t="shared" si="567"/>
        <v>-0.5</v>
      </c>
      <c r="BF206" s="13" cm="1">
        <f t="array" ref="BF206">SUMPRODUCT((1/COUNTIFS($A$3:$A206,$A$3:$A206,$H$3:$H206,$H$3:$H206,$I$3:$I206,$I$3:$I206)))</f>
        <v>98.000000000000014</v>
      </c>
    </row>
    <row r="207" spans="1:58" x14ac:dyDescent="0.2">
      <c r="A207" s="91">
        <v>46300</v>
      </c>
      <c r="C207" s="37">
        <v>11.4</v>
      </c>
      <c r="D207" s="13" t="s">
        <v>433</v>
      </c>
      <c r="E207" s="13" t="s">
        <v>142</v>
      </c>
      <c r="H207" t="s">
        <v>140</v>
      </c>
      <c r="I207" s="13">
        <v>3</v>
      </c>
      <c r="J207" s="13">
        <v>6</v>
      </c>
      <c r="K207" s="101" t="s">
        <v>301</v>
      </c>
      <c r="L207" s="37">
        <v>0.2</v>
      </c>
      <c r="M207" s="37">
        <v>2.88</v>
      </c>
      <c r="N207" s="37">
        <v>2.98</v>
      </c>
      <c r="O207" s="37" t="s">
        <v>17</v>
      </c>
      <c r="Q207" s="13" t="s">
        <v>89</v>
      </c>
      <c r="R207" s="37">
        <v>2.8216000000000001</v>
      </c>
      <c r="S207" s="13">
        <v>3</v>
      </c>
      <c r="T207" s="38">
        <f t="shared" si="534"/>
        <v>0.56000000000000005</v>
      </c>
      <c r="U207" s="38">
        <f t="shared" si="557"/>
        <v>0.39600000000000002</v>
      </c>
      <c r="V207" s="38">
        <f t="shared" si="558"/>
        <v>-16.645319999999995</v>
      </c>
      <c r="W207" s="38">
        <f t="shared" si="559"/>
        <v>98.900000000000034</v>
      </c>
      <c r="X207" s="39">
        <f t="shared" si="560"/>
        <v>-0.168304550050556</v>
      </c>
      <c r="Y207" s="40">
        <f t="shared" si="561"/>
        <v>-0.16645319999999994</v>
      </c>
      <c r="Z207" s="41">
        <f t="shared" si="562"/>
        <v>-1664.5319999999995</v>
      </c>
      <c r="AA207" s="13" t="s">
        <v>206</v>
      </c>
      <c r="AT207" s="37">
        <v>2.6</v>
      </c>
      <c r="AU207" s="37">
        <v>2.6</v>
      </c>
      <c r="AV207" s="10">
        <f t="shared" si="522"/>
        <v>0.39599999999999996</v>
      </c>
      <c r="AW207" s="10">
        <f t="shared" si="563"/>
        <v>2.8216000000000001</v>
      </c>
      <c r="AZ207" t="str">
        <f t="shared" si="564"/>
        <v>Yes</v>
      </c>
      <c r="BB207" s="37">
        <f t="shared" si="565"/>
        <v>0.39600000000000002</v>
      </c>
      <c r="BC207" s="37">
        <f t="shared" si="427"/>
        <v>-0.10399999999999998</v>
      </c>
      <c r="BD207" s="37">
        <f t="shared" si="566"/>
        <v>-0.10399999999999998</v>
      </c>
      <c r="BE207" s="37">
        <f t="shared" si="567"/>
        <v>0.39600000000000002</v>
      </c>
      <c r="BF207" s="13" cm="1">
        <f t="array" ref="BF207">SUMPRODUCT((1/COUNTIFS($A$3:$A207,$A$3:$A207,$H$3:$H207,$H$3:$H207,$I$3:$I207,$I$3:$I207)))</f>
        <v>98.000000000000014</v>
      </c>
    </row>
    <row r="208" spans="1:58" x14ac:dyDescent="0.2">
      <c r="A208" s="91">
        <v>46300</v>
      </c>
      <c r="C208" s="37">
        <v>11.4</v>
      </c>
      <c r="D208" s="13" t="s">
        <v>433</v>
      </c>
      <c r="E208" s="13" t="s">
        <v>134</v>
      </c>
      <c r="H208" t="s">
        <v>135</v>
      </c>
      <c r="I208" s="13">
        <v>4</v>
      </c>
      <c r="J208" s="13">
        <v>6</v>
      </c>
      <c r="K208" t="s">
        <v>414</v>
      </c>
      <c r="L208" s="37">
        <v>0.5</v>
      </c>
      <c r="M208" s="37">
        <v>13</v>
      </c>
      <c r="N208" s="37">
        <v>13</v>
      </c>
      <c r="O208" s="37" t="s">
        <v>17</v>
      </c>
      <c r="Q208" s="13" t="s">
        <v>4</v>
      </c>
      <c r="R208" s="37">
        <v>12.040000000000001</v>
      </c>
      <c r="S208" s="13" t="s">
        <v>136</v>
      </c>
      <c r="T208" s="38" t="str">
        <f t="shared" si="534"/>
        <v>0.00</v>
      </c>
      <c r="U208" s="38">
        <f t="shared" si="557"/>
        <v>-0.5</v>
      </c>
      <c r="V208" s="38">
        <f t="shared" si="558"/>
        <v>-17.145319999999995</v>
      </c>
      <c r="W208" s="38">
        <f t="shared" si="559"/>
        <v>99.400000000000034</v>
      </c>
      <c r="X208" s="39">
        <f t="shared" si="560"/>
        <v>-0.1724881287726357</v>
      </c>
      <c r="Y208" s="40">
        <f t="shared" si="561"/>
        <v>-0.17145319999999994</v>
      </c>
      <c r="Z208" s="41">
        <f t="shared" si="562"/>
        <v>-1714.5319999999995</v>
      </c>
      <c r="AA208" s="13" t="s">
        <v>57</v>
      </c>
      <c r="AT208" s="37">
        <v>11.1</v>
      </c>
      <c r="AU208" s="37">
        <v>11</v>
      </c>
      <c r="AV208" s="10">
        <f t="shared" si="522"/>
        <v>6</v>
      </c>
      <c r="AW208" s="10">
        <f t="shared" si="563"/>
        <v>12.040000000000001</v>
      </c>
      <c r="AZ208" t="str">
        <f t="shared" si="564"/>
        <v>Yes</v>
      </c>
      <c r="BB208" s="37">
        <f t="shared" si="565"/>
        <v>-0.5</v>
      </c>
      <c r="BC208" s="37">
        <f t="shared" si="427"/>
        <v>-0.5</v>
      </c>
      <c r="BD208" s="37">
        <f t="shared" si="566"/>
        <v>-0.5</v>
      </c>
      <c r="BE208" s="37">
        <f t="shared" si="567"/>
        <v>-0.5</v>
      </c>
      <c r="BF208" s="13" cm="1">
        <f t="array" ref="BF208">SUMPRODUCT((1/COUNTIFS($A$3:$A208,$A$3:$A208,$H$3:$H208,$H$3:$H208,$I$3:$I208,$I$3:$I208)))</f>
        <v>99.000000000000014</v>
      </c>
    </row>
    <row r="209" spans="1:58" x14ac:dyDescent="0.2">
      <c r="A209" s="91">
        <v>46300</v>
      </c>
      <c r="C209" s="37">
        <v>11.4</v>
      </c>
      <c r="D209" s="13" t="s">
        <v>433</v>
      </c>
      <c r="E209" s="13" t="s">
        <v>142</v>
      </c>
      <c r="H209" t="s">
        <v>140</v>
      </c>
      <c r="I209" s="13">
        <v>4</v>
      </c>
      <c r="J209" s="13">
        <v>11</v>
      </c>
      <c r="K209" s="92" t="s">
        <v>415</v>
      </c>
      <c r="L209" s="37">
        <v>0.5</v>
      </c>
      <c r="M209" s="37">
        <v>28</v>
      </c>
      <c r="N209" s="37">
        <v>28.29</v>
      </c>
      <c r="O209" s="37" t="s">
        <v>17</v>
      </c>
      <c r="Q209" s="13" t="s">
        <v>4</v>
      </c>
      <c r="R209" s="37">
        <v>26.1068</v>
      </c>
      <c r="S209" s="13">
        <v>3</v>
      </c>
      <c r="T209" s="38" t="str">
        <f t="shared" si="534"/>
        <v>0.00</v>
      </c>
      <c r="U209" s="38">
        <f t="shared" si="557"/>
        <v>-0.5</v>
      </c>
      <c r="V209" s="38">
        <f t="shared" si="558"/>
        <v>-17.645319999999995</v>
      </c>
      <c r="W209" s="38">
        <f t="shared" si="559"/>
        <v>99.900000000000034</v>
      </c>
      <c r="X209" s="39">
        <f t="shared" si="560"/>
        <v>-0.17662982982982972</v>
      </c>
      <c r="Y209" s="40">
        <f t="shared" si="561"/>
        <v>-0.17645319999999995</v>
      </c>
      <c r="Z209" s="41">
        <f t="shared" si="562"/>
        <v>-1764.5319999999995</v>
      </c>
      <c r="AA209" s="13" t="s">
        <v>57</v>
      </c>
      <c r="AT209" s="37">
        <v>22.5</v>
      </c>
      <c r="AU209" s="37">
        <v>26</v>
      </c>
      <c r="AV209" s="10">
        <f t="shared" si="522"/>
        <v>13.645</v>
      </c>
      <c r="AW209" s="10">
        <f t="shared" si="563"/>
        <v>26.1068</v>
      </c>
      <c r="AZ209" t="str">
        <f t="shared" si="564"/>
        <v>Yes</v>
      </c>
      <c r="BB209" s="37">
        <f t="shared" si="565"/>
        <v>-0.5</v>
      </c>
      <c r="BC209" s="37">
        <f t="shared" si="427"/>
        <v>-0.5</v>
      </c>
      <c r="BD209" s="37">
        <f t="shared" si="566"/>
        <v>-0.5</v>
      </c>
      <c r="BE209" s="37">
        <f t="shared" si="567"/>
        <v>-0.5</v>
      </c>
      <c r="BF209" s="13" cm="1">
        <f t="array" ref="BF209">SUMPRODUCT((1/COUNTIFS($A$3:$A209,$A$3:$A209,$H$3:$H209,$H$3:$H209,$I$3:$I209,$I$3:$I209)))</f>
        <v>100.00000000000001</v>
      </c>
    </row>
    <row r="210" spans="1:58" x14ac:dyDescent="0.2">
      <c r="A210" s="91">
        <v>46300</v>
      </c>
      <c r="C210" s="37">
        <v>11.4</v>
      </c>
      <c r="D210" s="13" t="s">
        <v>433</v>
      </c>
      <c r="E210" s="13" t="s">
        <v>134</v>
      </c>
      <c r="H210" t="s">
        <v>135</v>
      </c>
      <c r="I210" s="13">
        <v>5</v>
      </c>
      <c r="J210" s="13">
        <v>6</v>
      </c>
      <c r="K210" t="s">
        <v>416</v>
      </c>
      <c r="L210" s="37">
        <v>0.5</v>
      </c>
      <c r="M210" s="37">
        <v>14</v>
      </c>
      <c r="N210" s="37">
        <v>14</v>
      </c>
      <c r="O210" s="37" t="s">
        <v>17</v>
      </c>
      <c r="Q210" s="13" t="s">
        <v>4</v>
      </c>
      <c r="R210" s="37">
        <v>12.96</v>
      </c>
      <c r="S210" s="13" t="s">
        <v>136</v>
      </c>
      <c r="T210" s="38" t="str">
        <f t="shared" si="534"/>
        <v>0.00</v>
      </c>
      <c r="U210" s="38">
        <f t="shared" si="557"/>
        <v>-0.5</v>
      </c>
      <c r="V210" s="38">
        <f t="shared" si="558"/>
        <v>-18.145319999999995</v>
      </c>
      <c r="W210" s="38">
        <f t="shared" si="559"/>
        <v>100.40000000000003</v>
      </c>
      <c r="X210" s="39">
        <f t="shared" si="560"/>
        <v>-0.18073027888446203</v>
      </c>
      <c r="Y210" s="40">
        <f t="shared" si="561"/>
        <v>-0.18145319999999995</v>
      </c>
      <c r="Z210" s="41">
        <f t="shared" si="562"/>
        <v>-1814.5319999999995</v>
      </c>
      <c r="AA210" s="13" t="s">
        <v>57</v>
      </c>
      <c r="AT210" s="37">
        <v>10</v>
      </c>
      <c r="AU210" s="37">
        <v>10</v>
      </c>
      <c r="AV210" s="10">
        <f t="shared" si="522"/>
        <v>6.5</v>
      </c>
      <c r="AW210" s="10">
        <f t="shared" si="563"/>
        <v>12.96</v>
      </c>
      <c r="AZ210" t="str">
        <f t="shared" si="564"/>
        <v>Yes</v>
      </c>
      <c r="BB210" s="37">
        <f t="shared" si="565"/>
        <v>-0.5</v>
      </c>
      <c r="BC210" s="37">
        <f t="shared" si="427"/>
        <v>-0.5</v>
      </c>
      <c r="BD210" s="37">
        <f t="shared" si="566"/>
        <v>-0.5</v>
      </c>
      <c r="BE210" s="37">
        <f t="shared" si="567"/>
        <v>-0.5</v>
      </c>
      <c r="BF210" s="13" cm="1">
        <f t="array" ref="BF210">SUMPRODUCT((1/COUNTIFS($A$3:$A210,$A$3:$A210,$H$3:$H210,$H$3:$H210,$I$3:$I210,$I$3:$I210)))</f>
        <v>101.00000000000001</v>
      </c>
    </row>
    <row r="211" spans="1:58" x14ac:dyDescent="0.2">
      <c r="A211" s="91">
        <v>46300</v>
      </c>
      <c r="C211" s="37">
        <v>11.4</v>
      </c>
      <c r="D211" s="13" t="s">
        <v>433</v>
      </c>
      <c r="E211" s="13" t="s">
        <v>134</v>
      </c>
      <c r="H211" t="s">
        <v>135</v>
      </c>
      <c r="I211" s="13">
        <v>6</v>
      </c>
      <c r="J211" s="13">
        <v>8</v>
      </c>
      <c r="K211" t="s">
        <v>419</v>
      </c>
      <c r="L211" s="37">
        <v>0.5</v>
      </c>
      <c r="M211" s="37">
        <v>14</v>
      </c>
      <c r="N211" s="37">
        <v>14</v>
      </c>
      <c r="O211" s="37" t="s">
        <v>17</v>
      </c>
      <c r="Q211" s="13" t="s">
        <v>4</v>
      </c>
      <c r="R211" s="37">
        <v>12.96</v>
      </c>
      <c r="S211" s="13" t="s">
        <v>136</v>
      </c>
      <c r="T211" s="38" t="str">
        <f t="shared" si="534"/>
        <v>0.00</v>
      </c>
      <c r="U211" s="38">
        <f t="shared" si="557"/>
        <v>-0.5</v>
      </c>
      <c r="V211" s="38">
        <f t="shared" si="558"/>
        <v>-18.645319999999995</v>
      </c>
      <c r="W211" s="38">
        <f t="shared" si="559"/>
        <v>100.90000000000003</v>
      </c>
      <c r="X211" s="39">
        <f t="shared" si="560"/>
        <v>-0.18479008919722487</v>
      </c>
      <c r="Y211" s="40">
        <f t="shared" si="561"/>
        <v>-0.18645319999999996</v>
      </c>
      <c r="Z211" s="41">
        <f t="shared" si="562"/>
        <v>-1864.5319999999995</v>
      </c>
      <c r="AA211" s="13" t="s">
        <v>57</v>
      </c>
      <c r="AT211" s="37">
        <v>12</v>
      </c>
      <c r="AU211" s="37">
        <v>12</v>
      </c>
      <c r="AV211" s="10">
        <f t="shared" si="522"/>
        <v>6.5</v>
      </c>
      <c r="AW211" s="10">
        <f t="shared" si="563"/>
        <v>12.96</v>
      </c>
      <c r="AZ211" t="str">
        <f t="shared" si="564"/>
        <v>Yes</v>
      </c>
      <c r="BB211" s="37">
        <f t="shared" si="565"/>
        <v>-0.5</v>
      </c>
      <c r="BC211" s="37">
        <f t="shared" si="427"/>
        <v>-0.5</v>
      </c>
      <c r="BD211" s="37">
        <f t="shared" si="566"/>
        <v>-0.5</v>
      </c>
      <c r="BE211" s="37">
        <f t="shared" si="567"/>
        <v>-0.5</v>
      </c>
      <c r="BF211" s="13" cm="1">
        <f t="array" ref="BF211">SUMPRODUCT((1/COUNTIFS($A$3:$A211,$A$3:$A211,$H$3:$H211,$H$3:$H211,$I$3:$I211,$I$3:$I211)))</f>
        <v>102.00000000000001</v>
      </c>
    </row>
    <row r="212" spans="1:58" x14ac:dyDescent="0.2">
      <c r="A212" s="91">
        <v>46300</v>
      </c>
      <c r="C212" s="37">
        <v>11.4</v>
      </c>
      <c r="D212" s="13" t="s">
        <v>433</v>
      </c>
      <c r="E212" s="13" t="s">
        <v>142</v>
      </c>
      <c r="H212" t="s">
        <v>140</v>
      </c>
      <c r="I212" s="13">
        <v>6</v>
      </c>
      <c r="J212" s="13">
        <v>2</v>
      </c>
      <c r="K212" s="98" t="s">
        <v>422</v>
      </c>
      <c r="L212" s="37">
        <v>0.5</v>
      </c>
      <c r="M212" s="37">
        <v>12</v>
      </c>
      <c r="N212" s="37">
        <v>13.01</v>
      </c>
      <c r="O212" s="37" t="s">
        <v>17</v>
      </c>
      <c r="Q212" s="13" t="s">
        <v>4</v>
      </c>
      <c r="R212" s="37">
        <v>12.049200000000001</v>
      </c>
      <c r="S212" s="13">
        <v>4</v>
      </c>
      <c r="T212" s="38" t="str">
        <f t="shared" si="534"/>
        <v>0.00</v>
      </c>
      <c r="U212" s="38">
        <f t="shared" si="557"/>
        <v>-0.5</v>
      </c>
      <c r="V212" s="38">
        <f t="shared" si="558"/>
        <v>-19.145319999999995</v>
      </c>
      <c r="W212" s="38">
        <f t="shared" si="559"/>
        <v>101.40000000000003</v>
      </c>
      <c r="X212" s="39">
        <f t="shared" si="560"/>
        <v>-0.18880986193293875</v>
      </c>
      <c r="Y212" s="40">
        <f t="shared" si="561"/>
        <v>-0.19145319999999993</v>
      </c>
      <c r="Z212" s="41">
        <f t="shared" si="562"/>
        <v>-1914.5319999999995</v>
      </c>
      <c r="AA212" s="13" t="s">
        <v>57</v>
      </c>
      <c r="AT212" s="37">
        <v>12</v>
      </c>
      <c r="AU212" s="37">
        <v>11</v>
      </c>
      <c r="AV212" s="10">
        <f t="shared" si="522"/>
        <v>6.0049999999999999</v>
      </c>
      <c r="AW212" s="10">
        <f t="shared" si="563"/>
        <v>12.049200000000001</v>
      </c>
      <c r="AZ212" t="str">
        <f t="shared" si="564"/>
        <v>Yes</v>
      </c>
      <c r="BB212" s="37">
        <f t="shared" si="565"/>
        <v>-0.5</v>
      </c>
      <c r="BC212" s="37">
        <f t="shared" si="427"/>
        <v>-1.4</v>
      </c>
      <c r="BD212" s="37">
        <f t="shared" si="566"/>
        <v>-1.4</v>
      </c>
      <c r="BE212" s="37">
        <f t="shared" si="567"/>
        <v>-0.5</v>
      </c>
      <c r="BF212" s="13" cm="1">
        <f t="array" ref="BF212">SUMPRODUCT((1/COUNTIFS($A$3:$A212,$A$3:$A212,$H$3:$H212,$H$3:$H212,$I$3:$I212,$I$3:$I212)))</f>
        <v>103.00000000000001</v>
      </c>
    </row>
    <row r="213" spans="1:58" x14ac:dyDescent="0.2">
      <c r="A213" s="91">
        <v>46300</v>
      </c>
      <c r="C213" s="37">
        <v>11.4</v>
      </c>
      <c r="D213" s="13" t="s">
        <v>433</v>
      </c>
      <c r="E213" s="13" t="s">
        <v>142</v>
      </c>
      <c r="H213" t="s">
        <v>140</v>
      </c>
      <c r="I213" s="13">
        <v>6</v>
      </c>
      <c r="J213" s="13">
        <v>2</v>
      </c>
      <c r="K213" s="98" t="s">
        <v>422</v>
      </c>
      <c r="L213" s="37">
        <v>0.2</v>
      </c>
      <c r="M213" s="37">
        <v>3.7</v>
      </c>
      <c r="N213" s="37">
        <v>3.7</v>
      </c>
      <c r="O213" s="37" t="s">
        <v>17</v>
      </c>
      <c r="Q213" s="13" t="s">
        <v>89</v>
      </c>
      <c r="R213" s="37">
        <v>3.4840000000000004</v>
      </c>
      <c r="S213" s="13">
        <v>4</v>
      </c>
      <c r="T213" s="38" t="str">
        <f t="shared" si="534"/>
        <v>0.00</v>
      </c>
      <c r="U213" s="38">
        <f t="shared" si="557"/>
        <v>-0.2</v>
      </c>
      <c r="V213" s="38">
        <f t="shared" si="558"/>
        <v>-19.345319999999994</v>
      </c>
      <c r="W213" s="38">
        <f t="shared" si="559"/>
        <v>101.60000000000004</v>
      </c>
      <c r="X213" s="39">
        <f t="shared" si="560"/>
        <v>-0.19040669291338569</v>
      </c>
      <c r="Y213" s="40">
        <f t="shared" si="561"/>
        <v>-0.19345319999999994</v>
      </c>
      <c r="Z213" s="41">
        <f t="shared" si="562"/>
        <v>-1934.5319999999995</v>
      </c>
      <c r="AA213" s="13" t="s">
        <v>57</v>
      </c>
      <c r="AT213" s="37">
        <v>2.6</v>
      </c>
      <c r="AU213" s="37">
        <v>2.6</v>
      </c>
      <c r="AV213" s="10">
        <f t="shared" si="522"/>
        <v>0.54</v>
      </c>
      <c r="AW213" s="10">
        <f t="shared" si="563"/>
        <v>3.4840000000000004</v>
      </c>
      <c r="AZ213" t="str">
        <f t="shared" si="564"/>
        <v>Yes</v>
      </c>
      <c r="BB213" s="37">
        <f t="shared" si="565"/>
        <v>-0.2</v>
      </c>
      <c r="BC213" s="37">
        <f t="shared" si="427"/>
        <v>-1.4</v>
      </c>
      <c r="BD213" s="37">
        <f t="shared" si="566"/>
        <v>-1.4</v>
      </c>
      <c r="BE213" s="37">
        <f t="shared" si="567"/>
        <v>-0.2</v>
      </c>
      <c r="BF213" s="13" cm="1">
        <f t="array" ref="BF213">SUMPRODUCT((1/COUNTIFS($A$3:$A213,$A$3:$A213,$H$3:$H213,$H$3:$H213,$I$3:$I213,$I$3:$I213)))</f>
        <v>103.00000000000001</v>
      </c>
    </row>
    <row r="214" spans="1:58" x14ac:dyDescent="0.2">
      <c r="A214" s="91">
        <v>46300</v>
      </c>
      <c r="C214" s="37">
        <v>11.4</v>
      </c>
      <c r="D214" s="13" t="s">
        <v>433</v>
      </c>
      <c r="E214" s="13" t="s">
        <v>142</v>
      </c>
      <c r="H214" t="s">
        <v>140</v>
      </c>
      <c r="I214" s="13">
        <v>6</v>
      </c>
      <c r="J214" s="13">
        <v>9</v>
      </c>
      <c r="K214" t="s">
        <v>285</v>
      </c>
      <c r="L214" s="37">
        <v>0.5</v>
      </c>
      <c r="M214" s="37">
        <v>18.5</v>
      </c>
      <c r="N214" s="37">
        <v>25.26</v>
      </c>
      <c r="O214" s="37" t="s">
        <v>17</v>
      </c>
      <c r="Q214" s="13" t="s">
        <v>4</v>
      </c>
      <c r="R214" s="37">
        <v>23.319200000000002</v>
      </c>
      <c r="S214" s="13" t="s">
        <v>136</v>
      </c>
      <c r="T214" s="38" t="str">
        <f t="shared" si="534"/>
        <v>0.00</v>
      </c>
      <c r="U214" s="38">
        <f t="shared" si="557"/>
        <v>-0.5</v>
      </c>
      <c r="V214" s="38">
        <f t="shared" si="558"/>
        <v>-19.845319999999994</v>
      </c>
      <c r="W214" s="38">
        <f t="shared" si="559"/>
        <v>102.10000000000004</v>
      </c>
      <c r="X214" s="39">
        <f t="shared" si="560"/>
        <v>-0.19437140058765903</v>
      </c>
      <c r="Y214" s="40">
        <f t="shared" si="561"/>
        <v>-0.19845319999999994</v>
      </c>
      <c r="Z214" s="41">
        <f t="shared" si="562"/>
        <v>-1984.5319999999995</v>
      </c>
      <c r="AA214" s="13" t="s">
        <v>57</v>
      </c>
      <c r="AT214" s="37">
        <v>21.7</v>
      </c>
      <c r="AU214" s="37">
        <v>20</v>
      </c>
      <c r="AV214" s="10">
        <f t="shared" si="522"/>
        <v>12.13</v>
      </c>
      <c r="AW214" s="10">
        <f t="shared" si="563"/>
        <v>23.319200000000002</v>
      </c>
      <c r="AZ214" t="str">
        <f t="shared" si="564"/>
        <v>Yes</v>
      </c>
      <c r="BB214" s="37">
        <f t="shared" si="565"/>
        <v>-0.5</v>
      </c>
      <c r="BC214" s="37">
        <f t="shared" si="427"/>
        <v>-1.4</v>
      </c>
      <c r="BD214" s="37">
        <f t="shared" si="566"/>
        <v>-1.4</v>
      </c>
      <c r="BE214" s="37">
        <f t="shared" si="567"/>
        <v>-0.5</v>
      </c>
      <c r="BF214" s="13" cm="1">
        <f t="array" ref="BF214">SUMPRODUCT((1/COUNTIFS($A$3:$A214,$A$3:$A214,$H$3:$H214,$H$3:$H214,$I$3:$I214,$I$3:$I214)))</f>
        <v>103</v>
      </c>
    </row>
    <row r="215" spans="1:58" x14ac:dyDescent="0.2">
      <c r="A215" s="91">
        <v>46300</v>
      </c>
      <c r="C215" s="37">
        <v>11.4</v>
      </c>
      <c r="D215" s="13" t="s">
        <v>433</v>
      </c>
      <c r="E215" s="13" t="s">
        <v>142</v>
      </c>
      <c r="H215" t="s">
        <v>140</v>
      </c>
      <c r="I215" s="13">
        <v>6</v>
      </c>
      <c r="J215" s="13">
        <v>9</v>
      </c>
      <c r="K215" t="s">
        <v>285</v>
      </c>
      <c r="L215" s="37">
        <v>0.2</v>
      </c>
      <c r="M215" s="37">
        <v>5.6</v>
      </c>
      <c r="N215" s="37">
        <v>5.92</v>
      </c>
      <c r="O215" s="37" t="s">
        <v>17</v>
      </c>
      <c r="Q215" s="13" t="s">
        <v>89</v>
      </c>
      <c r="R215" s="37">
        <v>5.5263999999999998</v>
      </c>
      <c r="S215" s="13" t="s">
        <v>136</v>
      </c>
      <c r="T215" s="38" t="str">
        <f t="shared" si="534"/>
        <v>0.00</v>
      </c>
      <c r="U215" s="38">
        <f t="shared" si="557"/>
        <v>-0.2</v>
      </c>
      <c r="V215" s="38">
        <f t="shared" si="558"/>
        <v>-20.045319999999993</v>
      </c>
      <c r="W215" s="38">
        <f t="shared" si="559"/>
        <v>102.30000000000004</v>
      </c>
      <c r="X215" s="39">
        <f t="shared" si="560"/>
        <v>-0.19594643206256096</v>
      </c>
      <c r="Y215" s="40">
        <f t="shared" si="561"/>
        <v>-0.20045319999999994</v>
      </c>
      <c r="Z215" s="41">
        <f t="shared" si="562"/>
        <v>-2004.5319999999992</v>
      </c>
      <c r="AA215" s="13" t="s">
        <v>57</v>
      </c>
      <c r="AT215" s="37">
        <v>5</v>
      </c>
      <c r="AU215" s="37">
        <v>5</v>
      </c>
      <c r="AV215" s="10">
        <f t="shared" si="522"/>
        <v>0.98399999999999999</v>
      </c>
      <c r="AW215" s="10">
        <f t="shared" si="563"/>
        <v>5.5263999999999998</v>
      </c>
      <c r="AZ215" t="str">
        <f t="shared" si="564"/>
        <v>Yes</v>
      </c>
      <c r="BB215" s="37">
        <f t="shared" si="565"/>
        <v>-0.2</v>
      </c>
      <c r="BC215" s="37">
        <f t="shared" si="427"/>
        <v>-1.4</v>
      </c>
      <c r="BD215" s="37">
        <f t="shared" si="566"/>
        <v>-1.4</v>
      </c>
      <c r="BE215" s="37">
        <f t="shared" si="567"/>
        <v>-0.2</v>
      </c>
      <c r="BF215" s="13" cm="1">
        <f t="array" ref="BF215">SUMPRODUCT((1/COUNTIFS($A$3:$A215,$A$3:$A215,$H$3:$H215,$H$3:$H215,$I$3:$I215,$I$3:$I215)))</f>
        <v>103.00000000000001</v>
      </c>
    </row>
    <row r="216" spans="1:58" x14ac:dyDescent="0.2">
      <c r="A216" s="91">
        <v>46300</v>
      </c>
      <c r="C216" s="37">
        <v>11.4</v>
      </c>
      <c r="D216" s="13" t="s">
        <v>433</v>
      </c>
      <c r="E216" s="13" t="s">
        <v>142</v>
      </c>
      <c r="H216" t="s">
        <v>140</v>
      </c>
      <c r="I216" s="13">
        <v>7</v>
      </c>
      <c r="J216" s="13">
        <v>5</v>
      </c>
      <c r="K216" t="s">
        <v>427</v>
      </c>
      <c r="L216" s="37">
        <v>0.5</v>
      </c>
      <c r="M216" s="37">
        <v>19.5</v>
      </c>
      <c r="N216" s="37">
        <v>36</v>
      </c>
      <c r="O216" s="37" t="s">
        <v>17</v>
      </c>
      <c r="Q216" s="13" t="s">
        <v>4</v>
      </c>
      <c r="R216" s="37">
        <v>33.200000000000003</v>
      </c>
      <c r="S216" s="13" t="s">
        <v>136</v>
      </c>
      <c r="T216" s="38" t="str">
        <f t="shared" si="534"/>
        <v>0.00</v>
      </c>
      <c r="U216" s="38">
        <f t="shared" si="557"/>
        <v>-0.5</v>
      </c>
      <c r="V216" s="38">
        <f t="shared" si="558"/>
        <v>-20.545319999999993</v>
      </c>
      <c r="W216" s="38">
        <f t="shared" si="559"/>
        <v>102.80000000000004</v>
      </c>
      <c r="X216" s="39">
        <f t="shared" si="560"/>
        <v>-0.19985719844357963</v>
      </c>
      <c r="Y216" s="40">
        <f t="shared" si="561"/>
        <v>-0.20545319999999992</v>
      </c>
      <c r="Z216" s="41">
        <f t="shared" si="562"/>
        <v>-2054.5319999999992</v>
      </c>
      <c r="AA216" s="13" t="s">
        <v>57</v>
      </c>
      <c r="AT216" s="37">
        <v>26</v>
      </c>
      <c r="AU216" s="37">
        <v>26</v>
      </c>
      <c r="AV216" s="10">
        <f t="shared" si="522"/>
        <v>17.5</v>
      </c>
      <c r="AW216" s="10">
        <f t="shared" si="563"/>
        <v>33.200000000000003</v>
      </c>
      <c r="AZ216" t="str">
        <f t="shared" si="564"/>
        <v>Yes</v>
      </c>
      <c r="BB216" s="37">
        <f t="shared" si="565"/>
        <v>-0.5</v>
      </c>
      <c r="BC216" s="37">
        <f t="shared" si="427"/>
        <v>-1.2</v>
      </c>
      <c r="BD216" s="37">
        <f t="shared" si="566"/>
        <v>-1.2</v>
      </c>
      <c r="BE216" s="37">
        <f t="shared" si="567"/>
        <v>-0.5</v>
      </c>
      <c r="BF216" s="13" cm="1">
        <f t="array" ref="BF216">SUMPRODUCT((1/COUNTIFS($A$3:$A216,$A$3:$A216,$H$3:$H216,$H$3:$H216,$I$3:$I216,$I$3:$I216)))</f>
        <v>104.00000000000001</v>
      </c>
    </row>
    <row r="217" spans="1:58" x14ac:dyDescent="0.2">
      <c r="A217" s="91">
        <v>46300</v>
      </c>
      <c r="C217" s="37">
        <v>11.4</v>
      </c>
      <c r="D217" s="13" t="s">
        <v>433</v>
      </c>
      <c r="E217" s="13" t="s">
        <v>142</v>
      </c>
      <c r="H217" t="s">
        <v>140</v>
      </c>
      <c r="I217" s="13">
        <v>7</v>
      </c>
      <c r="J217" s="13">
        <v>5</v>
      </c>
      <c r="K217" t="s">
        <v>427</v>
      </c>
      <c r="L217" s="37">
        <v>0.2</v>
      </c>
      <c r="M217" s="37">
        <v>5.3</v>
      </c>
      <c r="N217" s="37">
        <v>5.5</v>
      </c>
      <c r="O217" s="37" t="s">
        <v>17</v>
      </c>
      <c r="Q217" s="13" t="s">
        <v>89</v>
      </c>
      <c r="R217" s="37">
        <v>5.1400000000000006</v>
      </c>
      <c r="S217" s="13" t="s">
        <v>136</v>
      </c>
      <c r="T217" s="38" t="str">
        <f t="shared" si="534"/>
        <v>0.00</v>
      </c>
      <c r="U217" s="38">
        <f t="shared" si="557"/>
        <v>-0.2</v>
      </c>
      <c r="V217" s="38">
        <f t="shared" si="558"/>
        <v>-20.745319999999992</v>
      </c>
      <c r="W217" s="38">
        <f t="shared" si="559"/>
        <v>103.00000000000004</v>
      </c>
      <c r="X217" s="39">
        <f t="shared" si="560"/>
        <v>-0.20141087378640762</v>
      </c>
      <c r="Y217" s="40">
        <f t="shared" si="561"/>
        <v>-0.20745319999999992</v>
      </c>
      <c r="Z217" s="41">
        <f t="shared" si="562"/>
        <v>-2074.5319999999992</v>
      </c>
      <c r="AA217" s="13" t="s">
        <v>57</v>
      </c>
      <c r="AT217" s="37">
        <v>4.5</v>
      </c>
      <c r="AU217" s="37">
        <v>4.5</v>
      </c>
      <c r="AV217" s="10">
        <f t="shared" si="522"/>
        <v>0.90000000000000013</v>
      </c>
      <c r="AW217" s="10">
        <f t="shared" si="563"/>
        <v>5.1400000000000006</v>
      </c>
      <c r="AZ217" t="str">
        <f t="shared" si="564"/>
        <v>Yes</v>
      </c>
      <c r="BB217" s="37">
        <f t="shared" si="565"/>
        <v>-0.2</v>
      </c>
      <c r="BC217" s="37">
        <f t="shared" si="427"/>
        <v>-1.2</v>
      </c>
      <c r="BD217" s="37">
        <f t="shared" si="566"/>
        <v>-1.2</v>
      </c>
      <c r="BE217" s="37">
        <f t="shared" si="567"/>
        <v>-0.2</v>
      </c>
      <c r="BF217" s="13" cm="1">
        <f t="array" ref="BF217">SUMPRODUCT((1/COUNTIFS($A$3:$A217,$A$3:$A217,$H$3:$H217,$H$3:$H217,$I$3:$I217,$I$3:$I217)))</f>
        <v>104.00000000000001</v>
      </c>
    </row>
    <row r="218" spans="1:58" x14ac:dyDescent="0.2">
      <c r="A218" s="91">
        <v>46300</v>
      </c>
      <c r="C218" s="37">
        <v>11.4</v>
      </c>
      <c r="D218" s="13" t="s">
        <v>433</v>
      </c>
      <c r="E218" s="13" t="s">
        <v>142</v>
      </c>
      <c r="H218" t="s">
        <v>140</v>
      </c>
      <c r="I218" s="13">
        <v>7</v>
      </c>
      <c r="J218" s="13">
        <v>13</v>
      </c>
      <c r="K218" s="98" t="s">
        <v>428</v>
      </c>
      <c r="L218" s="37">
        <v>0.5</v>
      </c>
      <c r="M218" s="37">
        <v>16.5</v>
      </c>
      <c r="N218" s="37">
        <v>17.68</v>
      </c>
      <c r="O218" s="37" t="s">
        <v>17</v>
      </c>
      <c r="Q218" s="13" t="s">
        <v>4</v>
      </c>
      <c r="R218" s="37">
        <v>16.345600000000001</v>
      </c>
      <c r="S218" s="13">
        <v>4</v>
      </c>
      <c r="T218" s="38" t="str">
        <f t="shared" si="534"/>
        <v>0.00</v>
      </c>
      <c r="U218" s="38">
        <f t="shared" si="557"/>
        <v>-0.5</v>
      </c>
      <c r="V218" s="38">
        <f t="shared" si="558"/>
        <v>-21.245319999999992</v>
      </c>
      <c r="W218" s="38">
        <f t="shared" si="559"/>
        <v>103.50000000000004</v>
      </c>
      <c r="X218" s="39">
        <f t="shared" si="560"/>
        <v>-0.20526879227053124</v>
      </c>
      <c r="Y218" s="40">
        <f t="shared" si="561"/>
        <v>-0.21245319999999993</v>
      </c>
      <c r="Z218" s="41">
        <f t="shared" si="562"/>
        <v>-2124.5319999999992</v>
      </c>
      <c r="AA218" s="13" t="s">
        <v>57</v>
      </c>
      <c r="AT218" s="37">
        <v>15.7</v>
      </c>
      <c r="AU218" s="37">
        <v>16</v>
      </c>
      <c r="AV218" s="10">
        <f t="shared" si="522"/>
        <v>8.34</v>
      </c>
      <c r="AW218" s="10">
        <f t="shared" si="563"/>
        <v>16.345600000000001</v>
      </c>
      <c r="AZ218" t="str">
        <f t="shared" si="564"/>
        <v>Yes</v>
      </c>
      <c r="BB218" s="37">
        <f t="shared" si="565"/>
        <v>-0.5</v>
      </c>
      <c r="BC218" s="37">
        <f t="shared" si="427"/>
        <v>-1.2</v>
      </c>
      <c r="BD218" s="37">
        <f t="shared" si="566"/>
        <v>-1.2</v>
      </c>
      <c r="BE218" s="37">
        <f t="shared" si="567"/>
        <v>-0.5</v>
      </c>
      <c r="BF218" s="13" cm="1">
        <f t="array" ref="BF218">SUMPRODUCT((1/COUNTIFS($A$3:$A218,$A$3:$A218,$H$3:$H218,$H$3:$H218,$I$3:$I218,$I$3:$I218)))</f>
        <v>104</v>
      </c>
    </row>
    <row r="219" spans="1:58" x14ac:dyDescent="0.2">
      <c r="A219" s="91">
        <v>46300</v>
      </c>
      <c r="C219" s="37">
        <v>11.4</v>
      </c>
      <c r="D219" s="13" t="s">
        <v>433</v>
      </c>
      <c r="E219" s="13" t="s">
        <v>134</v>
      </c>
      <c r="H219" t="s">
        <v>135</v>
      </c>
      <c r="I219" s="13">
        <v>8</v>
      </c>
      <c r="J219" s="13">
        <v>11</v>
      </c>
      <c r="K219" s="98" t="s">
        <v>132</v>
      </c>
      <c r="L219" s="37">
        <v>0.5</v>
      </c>
      <c r="M219" s="37">
        <v>14</v>
      </c>
      <c r="N219" s="37">
        <v>14.79</v>
      </c>
      <c r="O219" s="37" t="s">
        <v>17</v>
      </c>
      <c r="Q219" s="13" t="s">
        <v>4</v>
      </c>
      <c r="R219" s="37">
        <v>13.6868</v>
      </c>
      <c r="S219" s="13">
        <v>4</v>
      </c>
      <c r="T219" s="38" t="str">
        <f t="shared" si="534"/>
        <v>0.00</v>
      </c>
      <c r="U219" s="38">
        <f t="shared" si="557"/>
        <v>-0.5</v>
      </c>
      <c r="V219" s="38">
        <f t="shared" si="558"/>
        <v>-21.745319999999992</v>
      </c>
      <c r="W219" s="38">
        <f t="shared" si="559"/>
        <v>104.00000000000004</v>
      </c>
      <c r="X219" s="39">
        <f t="shared" si="560"/>
        <v>-0.20908961538461523</v>
      </c>
      <c r="Y219" s="40">
        <f t="shared" si="561"/>
        <v>-0.21745319999999993</v>
      </c>
      <c r="Z219" s="41">
        <f t="shared" si="562"/>
        <v>-2174.5319999999992</v>
      </c>
      <c r="AA219" s="13" t="s">
        <v>57</v>
      </c>
      <c r="AT219" s="37">
        <v>13.3</v>
      </c>
      <c r="AU219" s="37">
        <v>12</v>
      </c>
      <c r="AV219" s="10">
        <f t="shared" si="522"/>
        <v>6.8949999999999996</v>
      </c>
      <c r="AW219" s="10">
        <f t="shared" si="563"/>
        <v>13.6868</v>
      </c>
      <c r="AZ219" t="str">
        <f t="shared" si="564"/>
        <v>Yes</v>
      </c>
      <c r="BB219" s="37">
        <f t="shared" si="565"/>
        <v>-0.5</v>
      </c>
      <c r="BC219" s="37">
        <f t="shared" si="427"/>
        <v>-0.5</v>
      </c>
      <c r="BD219" s="37">
        <f t="shared" si="566"/>
        <v>-0.5</v>
      </c>
      <c r="BE219" s="37">
        <f t="shared" si="567"/>
        <v>-0.5</v>
      </c>
      <c r="BF219" s="13" cm="1">
        <f t="array" ref="BF219">SUMPRODUCT((1/COUNTIFS($A$3:$A219,$A$3:$A219,$H$3:$H219,$H$3:$H219,$I$3:$I219,$I$3:$I219)))</f>
        <v>105</v>
      </c>
    </row>
    <row r="220" spans="1:58" x14ac:dyDescent="0.2">
      <c r="A220" s="91">
        <v>46302</v>
      </c>
      <c r="C220" s="37">
        <v>1.27</v>
      </c>
      <c r="D220" s="13" t="s">
        <v>133</v>
      </c>
      <c r="E220" s="13" t="s">
        <v>134</v>
      </c>
      <c r="H220" t="s">
        <v>138</v>
      </c>
      <c r="I220" s="13">
        <v>2</v>
      </c>
      <c r="J220" s="13">
        <v>7</v>
      </c>
      <c r="K220" s="92" t="s">
        <v>434</v>
      </c>
      <c r="L220" s="37">
        <v>0.5</v>
      </c>
      <c r="M220" s="37">
        <v>12</v>
      </c>
      <c r="N220" s="37">
        <v>12.5</v>
      </c>
      <c r="O220" s="37" t="s">
        <v>17</v>
      </c>
      <c r="Q220" s="13" t="s">
        <v>4</v>
      </c>
      <c r="R220" s="37">
        <v>11.58</v>
      </c>
      <c r="S220" s="13">
        <v>3</v>
      </c>
      <c r="T220" s="38" t="str">
        <f t="shared" si="534"/>
        <v>0.00</v>
      </c>
      <c r="U220" s="38">
        <f t="shared" ref="U220:U222" si="568">BE220</f>
        <v>-0.5</v>
      </c>
      <c r="V220" s="38">
        <f t="shared" ref="V220:V222" si="569">V219+U220</f>
        <v>-22.245319999999992</v>
      </c>
      <c r="W220" s="38">
        <f t="shared" ref="W220:W222" si="570">W219+L220</f>
        <v>104.50000000000004</v>
      </c>
      <c r="X220" s="39">
        <f t="shared" ref="X220:X222" si="571">SUM(V220/W220)</f>
        <v>-0.21287387559808596</v>
      </c>
      <c r="Y220" s="40">
        <f t="shared" ref="Y220:Y222" si="572">V220/100</f>
        <v>-0.22245319999999993</v>
      </c>
      <c r="Z220" s="41">
        <f t="shared" ref="Z220:Z222" si="573">V220*100</f>
        <v>-2224.5319999999992</v>
      </c>
      <c r="AA220" s="13" t="s">
        <v>57</v>
      </c>
      <c r="AT220" s="37">
        <v>11</v>
      </c>
      <c r="AU220" s="37">
        <v>13</v>
      </c>
      <c r="AV220" s="10">
        <f t="shared" si="522"/>
        <v>5.75</v>
      </c>
      <c r="AW220" s="10">
        <f t="shared" ref="AW220:AW222" si="574">0.92*(N220-1)+1</f>
        <v>11.58</v>
      </c>
      <c r="AZ220" t="str">
        <f t="shared" ref="AZ220:AZ222" si="575">IF(N220&gt;=M220,"Yes","No")</f>
        <v>Yes</v>
      </c>
      <c r="BB220" s="37">
        <f t="shared" ref="BB220:BB222" si="576">IF(AA220="W",
   L220*(N220-1),
   -L220
)</f>
        <v>-0.5</v>
      </c>
      <c r="BC220" s="37">
        <f t="shared" si="427"/>
        <v>-0.5</v>
      </c>
      <c r="BD220" s="37">
        <f t="shared" ref="BD220:BD222" si="577">IF(BC220&gt;0, BC220*0.92, BC220)</f>
        <v>-0.5</v>
      </c>
      <c r="BE220" s="37">
        <f t="shared" ref="BE220:BE222" si="578">IF(
  BC220&gt;0,
  IF(
    AA220="W",
    BB220 - (BC220 - BD220),
    BB220
  ),
  BB220
)</f>
        <v>-0.5</v>
      </c>
      <c r="BF220" s="13" cm="1">
        <f t="array" ref="BF220">SUMPRODUCT((1/COUNTIFS($A$3:$A220,$A$3:$A220,$H$3:$H220,$H$3:$H220,$I$3:$I220,$I$3:$I220)))</f>
        <v>106</v>
      </c>
    </row>
    <row r="221" spans="1:58" x14ac:dyDescent="0.2">
      <c r="A221" s="91">
        <v>46302</v>
      </c>
      <c r="C221" s="37">
        <v>1.27</v>
      </c>
      <c r="D221" s="13" t="s">
        <v>133</v>
      </c>
      <c r="E221" s="13" t="s">
        <v>134</v>
      </c>
      <c r="H221" t="s">
        <v>138</v>
      </c>
      <c r="I221" s="13">
        <v>5</v>
      </c>
      <c r="J221" s="13">
        <v>4</v>
      </c>
      <c r="K221" t="s">
        <v>439</v>
      </c>
      <c r="L221" s="37">
        <v>0.5</v>
      </c>
      <c r="M221" s="37">
        <v>11</v>
      </c>
      <c r="N221" s="37">
        <v>11.37</v>
      </c>
      <c r="O221" s="37" t="s">
        <v>17</v>
      </c>
      <c r="Q221" s="13" t="s">
        <v>4</v>
      </c>
      <c r="R221" s="37">
        <v>10.5404</v>
      </c>
      <c r="S221" s="13" t="s">
        <v>136</v>
      </c>
      <c r="T221" s="38" t="str">
        <f t="shared" si="534"/>
        <v>0.00</v>
      </c>
      <c r="U221" s="38">
        <f t="shared" si="568"/>
        <v>-0.5</v>
      </c>
      <c r="V221" s="38">
        <f t="shared" si="569"/>
        <v>-22.745319999999992</v>
      </c>
      <c r="W221" s="38">
        <f t="shared" si="570"/>
        <v>105.00000000000004</v>
      </c>
      <c r="X221" s="39">
        <f t="shared" si="571"/>
        <v>-0.21662209523809509</v>
      </c>
      <c r="Y221" s="40">
        <f t="shared" si="572"/>
        <v>-0.22745319999999991</v>
      </c>
      <c r="Z221" s="41">
        <f t="shared" si="573"/>
        <v>-2274.5319999999992</v>
      </c>
      <c r="AA221" s="13" t="s">
        <v>57</v>
      </c>
      <c r="AT221" s="37">
        <v>11.4</v>
      </c>
      <c r="AU221" s="37">
        <v>13</v>
      </c>
      <c r="AV221" s="10">
        <f t="shared" si="522"/>
        <v>5.1849999999999996</v>
      </c>
      <c r="AW221" s="10">
        <f t="shared" si="574"/>
        <v>10.5404</v>
      </c>
      <c r="AZ221" t="str">
        <f t="shared" si="575"/>
        <v>Yes</v>
      </c>
      <c r="BB221" s="37">
        <f t="shared" si="576"/>
        <v>-0.5</v>
      </c>
      <c r="BC221" s="37">
        <f t="shared" si="427"/>
        <v>4.75</v>
      </c>
      <c r="BD221" s="37">
        <f t="shared" si="577"/>
        <v>4.37</v>
      </c>
      <c r="BE221" s="37">
        <f t="shared" si="578"/>
        <v>-0.5</v>
      </c>
      <c r="BF221" s="13" cm="1">
        <f t="array" ref="BF221">SUMPRODUCT((1/COUNTIFS($A$3:$A221,$A$3:$A221,$H$3:$H221,$H$3:$H221,$I$3:$I221,$I$3:$I221)))</f>
        <v>107</v>
      </c>
    </row>
    <row r="222" spans="1:58" x14ac:dyDescent="0.2">
      <c r="A222" s="91">
        <v>46302</v>
      </c>
      <c r="C222" s="37">
        <v>1.27</v>
      </c>
      <c r="D222" s="13" t="s">
        <v>133</v>
      </c>
      <c r="E222" s="13" t="s">
        <v>134</v>
      </c>
      <c r="H222" t="s">
        <v>138</v>
      </c>
      <c r="I222" s="13">
        <v>5</v>
      </c>
      <c r="J222" s="13">
        <v>7</v>
      </c>
      <c r="K222" s="101" t="s">
        <v>440</v>
      </c>
      <c r="L222" s="37">
        <v>0.5</v>
      </c>
      <c r="M222" s="37">
        <v>11.5</v>
      </c>
      <c r="N222" s="37">
        <v>11.5</v>
      </c>
      <c r="O222" s="37" t="s">
        <v>17</v>
      </c>
      <c r="Q222" s="13" t="s">
        <v>4</v>
      </c>
      <c r="R222" s="37">
        <v>10.66</v>
      </c>
      <c r="S222" s="13">
        <v>1</v>
      </c>
      <c r="T222" s="38">
        <f t="shared" si="534"/>
        <v>5.33</v>
      </c>
      <c r="U222" s="38">
        <f t="shared" si="568"/>
        <v>4.87</v>
      </c>
      <c r="V222" s="38">
        <f t="shared" si="569"/>
        <v>-17.875319999999991</v>
      </c>
      <c r="W222" s="38">
        <f t="shared" si="570"/>
        <v>105.50000000000004</v>
      </c>
      <c r="X222" s="39">
        <f t="shared" si="571"/>
        <v>-0.16943431279620838</v>
      </c>
      <c r="Y222" s="40">
        <f t="shared" si="572"/>
        <v>-0.17875319999999992</v>
      </c>
      <c r="Z222" s="41">
        <f t="shared" si="573"/>
        <v>-1787.5319999999992</v>
      </c>
      <c r="AA222" s="13" t="s">
        <v>206</v>
      </c>
      <c r="AT222" s="37">
        <v>11.5</v>
      </c>
      <c r="AU222" s="37">
        <v>11</v>
      </c>
      <c r="AV222" s="10">
        <f t="shared" si="522"/>
        <v>5.25</v>
      </c>
      <c r="AW222" s="10">
        <f t="shared" si="574"/>
        <v>10.66</v>
      </c>
      <c r="AZ222" t="str">
        <f t="shared" si="575"/>
        <v>Yes</v>
      </c>
      <c r="BB222" s="37">
        <f t="shared" si="576"/>
        <v>5.25</v>
      </c>
      <c r="BC222" s="37">
        <f t="shared" si="427"/>
        <v>4.75</v>
      </c>
      <c r="BD222" s="37">
        <f t="shared" si="577"/>
        <v>4.37</v>
      </c>
      <c r="BE222" s="37">
        <f t="shared" si="578"/>
        <v>4.87</v>
      </c>
      <c r="BF222" s="13" cm="1">
        <f t="array" ref="BF222">SUMPRODUCT((1/COUNTIFS($A$3:$A222,$A$3:$A222,$H$3:$H222,$H$3:$H222,$I$3:$I222,$I$3:$I222)))</f>
        <v>107</v>
      </c>
    </row>
    <row r="223" spans="1:58" x14ac:dyDescent="0.2">
      <c r="A223" s="91">
        <v>46302</v>
      </c>
      <c r="C223" s="37">
        <v>1.27</v>
      </c>
      <c r="D223" s="13" t="s">
        <v>133</v>
      </c>
      <c r="E223" s="13" t="s">
        <v>134</v>
      </c>
      <c r="H223" t="s">
        <v>138</v>
      </c>
      <c r="I223" s="13">
        <v>6</v>
      </c>
      <c r="J223" s="13">
        <v>8</v>
      </c>
      <c r="K223" t="s">
        <v>444</v>
      </c>
      <c r="L223" s="37">
        <v>0.5</v>
      </c>
      <c r="M223" s="37">
        <v>19</v>
      </c>
      <c r="N223" s="37">
        <v>28.21</v>
      </c>
      <c r="O223" s="37" t="s">
        <v>17</v>
      </c>
      <c r="Q223" s="13" t="s">
        <v>4</v>
      </c>
      <c r="R223" s="37">
        <v>26.033200000000001</v>
      </c>
      <c r="S223" s="13" t="s">
        <v>136</v>
      </c>
      <c r="T223" s="38" t="str">
        <f t="shared" si="534"/>
        <v>0.00</v>
      </c>
      <c r="U223" s="38">
        <f t="shared" ref="U223:U225" si="579">BE223</f>
        <v>-0.5</v>
      </c>
      <c r="V223" s="38">
        <f t="shared" ref="V223:V225" si="580">V222+U223</f>
        <v>-18.375319999999991</v>
      </c>
      <c r="W223" s="38">
        <f t="shared" ref="W223:W225" si="581">W222+L223</f>
        <v>106.00000000000004</v>
      </c>
      <c r="X223" s="39">
        <f t="shared" ref="X223:X225" si="582">SUM(V223/W223)</f>
        <v>-0.17335207547169795</v>
      </c>
      <c r="Y223" s="40">
        <f t="shared" ref="Y223:Y225" si="583">V223/100</f>
        <v>-0.18375319999999992</v>
      </c>
      <c r="Z223" s="41">
        <f t="shared" ref="Z223:Z225" si="584">V223*100</f>
        <v>-1837.5319999999992</v>
      </c>
      <c r="AA223" s="13" t="s">
        <v>57</v>
      </c>
      <c r="AT223" s="37">
        <v>31.2</v>
      </c>
      <c r="AU223" s="37">
        <v>26</v>
      </c>
      <c r="AV223" s="10">
        <f t="shared" si="522"/>
        <v>13.605</v>
      </c>
      <c r="AW223" s="10">
        <f t="shared" ref="AW223:AW225" si="585">0.92*(N223-1)+1</f>
        <v>26.033200000000001</v>
      </c>
      <c r="AZ223" t="str">
        <f t="shared" ref="AZ223:AZ225" si="586">IF(N223&gt;=M223,"Yes","No")</f>
        <v>Yes</v>
      </c>
      <c r="BB223" s="37">
        <f t="shared" ref="BB223:BB225" si="587">IF(AA223="W",
   L223*(N223-1),
   -L223
)</f>
        <v>-0.5</v>
      </c>
      <c r="BC223" s="37">
        <f t="shared" si="427"/>
        <v>-0.5</v>
      </c>
      <c r="BD223" s="37">
        <f t="shared" ref="BD223:BD225" si="588">IF(BC223&gt;0, BC223*0.92, BC223)</f>
        <v>-0.5</v>
      </c>
      <c r="BE223" s="37">
        <f t="shared" ref="BE223:BE225" si="589">IF(
  BC223&gt;0,
  IF(
    AA223="W",
    BB223 - (BC223 - BD223),
    BB223
  ),
  BB223
)</f>
        <v>-0.5</v>
      </c>
      <c r="BF223" s="13" cm="1">
        <f t="array" ref="BF223">SUMPRODUCT((1/COUNTIFS($A$3:$A223,$A$3:$A223,$H$3:$H223,$H$3:$H223,$I$3:$I223,$I$3:$I223)))</f>
        <v>108</v>
      </c>
    </row>
    <row r="224" spans="1:58" x14ac:dyDescent="0.2">
      <c r="A224" s="91">
        <v>46302</v>
      </c>
      <c r="C224" s="37">
        <v>1.27</v>
      </c>
      <c r="D224" s="13" t="s">
        <v>133</v>
      </c>
      <c r="E224" s="13" t="s">
        <v>134</v>
      </c>
      <c r="H224" t="s">
        <v>138</v>
      </c>
      <c r="I224" s="13">
        <v>7</v>
      </c>
      <c r="J224" s="13">
        <v>4</v>
      </c>
      <c r="K224" s="98" t="s">
        <v>446</v>
      </c>
      <c r="L224" s="37">
        <v>0.5</v>
      </c>
      <c r="M224" s="37">
        <v>6.8</v>
      </c>
      <c r="N224" s="37">
        <v>7.6</v>
      </c>
      <c r="O224" s="37" t="s">
        <v>17</v>
      </c>
      <c r="Q224" s="13" t="s">
        <v>4</v>
      </c>
      <c r="R224" s="37">
        <v>7.0720000000000001</v>
      </c>
      <c r="S224" s="13">
        <v>4</v>
      </c>
      <c r="T224" s="38" t="str">
        <f t="shared" si="534"/>
        <v>0.00</v>
      </c>
      <c r="U224" s="38">
        <f t="shared" si="579"/>
        <v>-0.5</v>
      </c>
      <c r="V224" s="38">
        <f t="shared" si="580"/>
        <v>-18.875319999999991</v>
      </c>
      <c r="W224" s="38">
        <f t="shared" si="581"/>
        <v>106.50000000000004</v>
      </c>
      <c r="X224" s="39">
        <f t="shared" si="582"/>
        <v>-0.17723305164319234</v>
      </c>
      <c r="Y224" s="40">
        <f t="shared" si="583"/>
        <v>-0.18875319999999993</v>
      </c>
      <c r="Z224" s="41">
        <f t="shared" si="584"/>
        <v>-1887.5319999999992</v>
      </c>
      <c r="AA224" s="13" t="s">
        <v>57</v>
      </c>
      <c r="AT224" s="37">
        <v>6.9</v>
      </c>
      <c r="AU224" s="37">
        <v>7</v>
      </c>
      <c r="AV224" s="10">
        <f t="shared" si="522"/>
        <v>3.3</v>
      </c>
      <c r="AW224" s="10">
        <f t="shared" si="585"/>
        <v>7.0720000000000001</v>
      </c>
      <c r="AZ224" t="str">
        <f t="shared" si="586"/>
        <v>Yes</v>
      </c>
      <c r="BB224" s="37">
        <f t="shared" si="587"/>
        <v>-0.5</v>
      </c>
      <c r="BC224" s="37">
        <f t="shared" ref="BC224:BC316" si="590">SUMIFS(
  $BB:$BB,
  $A:$A,$A224,
  $H:$H,$H224,
  $I:$I,$I224
)</f>
        <v>4.5</v>
      </c>
      <c r="BD224" s="37">
        <f t="shared" si="588"/>
        <v>4.1400000000000006</v>
      </c>
      <c r="BE224" s="37">
        <f t="shared" si="589"/>
        <v>-0.5</v>
      </c>
      <c r="BF224" s="13" cm="1">
        <f t="array" ref="BF224">SUMPRODUCT((1/COUNTIFS($A$3:$A224,$A$3:$A224,$H$3:$H224,$H$3:$H224,$I$3:$I224,$I$3:$I224)))</f>
        <v>109</v>
      </c>
    </row>
    <row r="225" spans="1:58" x14ac:dyDescent="0.2">
      <c r="A225" s="91">
        <v>46302</v>
      </c>
      <c r="C225" s="37">
        <v>1.27</v>
      </c>
      <c r="D225" s="13" t="s">
        <v>133</v>
      </c>
      <c r="E225" s="13" t="s">
        <v>134</v>
      </c>
      <c r="H225" t="s">
        <v>138</v>
      </c>
      <c r="I225" s="13">
        <v>7</v>
      </c>
      <c r="J225" s="13">
        <v>5</v>
      </c>
      <c r="K225" s="101" t="s">
        <v>447</v>
      </c>
      <c r="L225" s="37">
        <v>0.5</v>
      </c>
      <c r="M225" s="37">
        <v>10.5</v>
      </c>
      <c r="N225" s="37">
        <v>11</v>
      </c>
      <c r="O225" s="37" t="s">
        <v>17</v>
      </c>
      <c r="P225" s="37" t="s">
        <v>17</v>
      </c>
      <c r="Q225" s="13" t="s">
        <v>4</v>
      </c>
      <c r="R225" s="37">
        <v>10.200000000000001</v>
      </c>
      <c r="S225" s="13">
        <v>1</v>
      </c>
      <c r="T225" s="38">
        <f t="shared" si="534"/>
        <v>5.0999999999999996</v>
      </c>
      <c r="U225" s="38">
        <f t="shared" si="579"/>
        <v>4.6400000000000006</v>
      </c>
      <c r="V225" s="38">
        <f t="shared" si="580"/>
        <v>-14.235319999999991</v>
      </c>
      <c r="W225" s="38">
        <f t="shared" si="581"/>
        <v>107.00000000000004</v>
      </c>
      <c r="X225" s="39">
        <f t="shared" si="582"/>
        <v>-0.13304037383177555</v>
      </c>
      <c r="Y225" s="40">
        <f t="shared" si="583"/>
        <v>-0.1423531999999999</v>
      </c>
      <c r="Z225" s="41">
        <f t="shared" si="584"/>
        <v>-1423.531999999999</v>
      </c>
      <c r="AA225" s="13" t="s">
        <v>206</v>
      </c>
      <c r="AT225" s="37">
        <v>11.4</v>
      </c>
      <c r="AU225" s="37">
        <v>9</v>
      </c>
      <c r="AV225" s="10">
        <f t="shared" si="522"/>
        <v>5</v>
      </c>
      <c r="AW225" s="10">
        <f t="shared" si="585"/>
        <v>10.200000000000001</v>
      </c>
      <c r="AZ225" t="str">
        <f t="shared" si="586"/>
        <v>Yes</v>
      </c>
      <c r="BB225" s="37">
        <f t="shared" si="587"/>
        <v>5</v>
      </c>
      <c r="BC225" s="37">
        <f t="shared" si="590"/>
        <v>4.5</v>
      </c>
      <c r="BD225" s="37">
        <f t="shared" si="588"/>
        <v>4.1400000000000006</v>
      </c>
      <c r="BE225" s="37">
        <f t="shared" si="589"/>
        <v>4.6400000000000006</v>
      </c>
      <c r="BF225" s="13" cm="1">
        <f t="array" ref="BF225">SUMPRODUCT((1/COUNTIFS($A$3:$A225,$A$3:$A225,$H$3:$H225,$H$3:$H225,$I$3:$I225,$I$3:$I225)))</f>
        <v>109</v>
      </c>
    </row>
    <row r="226" spans="1:58" x14ac:dyDescent="0.2">
      <c r="A226" s="91">
        <v>46305</v>
      </c>
      <c r="C226" s="37">
        <v>11.45</v>
      </c>
      <c r="D226" s="13" t="s">
        <v>205</v>
      </c>
      <c r="E226" s="13" t="s">
        <v>134</v>
      </c>
      <c r="H226" t="s">
        <v>139</v>
      </c>
      <c r="I226" s="13">
        <v>1</v>
      </c>
      <c r="J226" s="13">
        <v>9</v>
      </c>
      <c r="K226" t="s">
        <v>448</v>
      </c>
      <c r="L226" s="37">
        <v>0.5</v>
      </c>
      <c r="M226" s="37">
        <v>22</v>
      </c>
      <c r="N226" s="37">
        <v>42.22</v>
      </c>
      <c r="O226" s="37" t="s">
        <v>17</v>
      </c>
      <c r="Q226" s="13" t="s">
        <v>4</v>
      </c>
      <c r="R226" s="37">
        <v>38.922400000000003</v>
      </c>
      <c r="S226" s="13" t="s">
        <v>136</v>
      </c>
      <c r="T226" s="38" t="str">
        <f t="shared" si="534"/>
        <v>0.00</v>
      </c>
      <c r="U226" s="38">
        <f t="shared" ref="U226:U251" si="591">BE226</f>
        <v>-0.5</v>
      </c>
      <c r="V226" s="38">
        <f t="shared" ref="V226:V251" si="592">V225+U226</f>
        <v>-14.735319999999991</v>
      </c>
      <c r="W226" s="38">
        <f t="shared" ref="W226:W251" si="593">W225+L226</f>
        <v>107.50000000000004</v>
      </c>
      <c r="X226" s="39">
        <f t="shared" ref="X226:X251" si="594">SUM(V226/W226)</f>
        <v>-0.13707274418604637</v>
      </c>
      <c r="Y226" s="40">
        <f t="shared" ref="Y226:Y251" si="595">V226/100</f>
        <v>-0.14735319999999991</v>
      </c>
      <c r="Z226" s="41">
        <f t="shared" ref="Z226:Z251" si="596">V226*100</f>
        <v>-1473.531999999999</v>
      </c>
      <c r="AA226" s="13" t="s">
        <v>57</v>
      </c>
      <c r="AT226" s="37">
        <v>32.4</v>
      </c>
      <c r="AU226" s="37">
        <v>31</v>
      </c>
      <c r="AV226" s="10">
        <f t="shared" si="522"/>
        <v>20.61</v>
      </c>
      <c r="AW226" s="10">
        <f t="shared" ref="AW226:AW252" si="597">0.92*(N226-1)+1</f>
        <v>38.922400000000003</v>
      </c>
      <c r="AZ226" t="str">
        <f t="shared" ref="AZ226:AZ252" si="598">IF(N226&gt;=M226,"Yes","No")</f>
        <v>Yes</v>
      </c>
      <c r="BB226" s="37">
        <f t="shared" ref="BB226:BB252" si="599">IF(AA226="W",
   L226*(N226-1),
   -L226
)</f>
        <v>-0.5</v>
      </c>
      <c r="BC226" s="37">
        <f t="shared" si="590"/>
        <v>-0.5</v>
      </c>
      <c r="BD226" s="37">
        <f t="shared" ref="BD226:BD252" si="600">IF(BC226&gt;0, BC226*0.92, BC226)</f>
        <v>-0.5</v>
      </c>
      <c r="BE226" s="37">
        <f t="shared" ref="BE226:BE252" si="601">IF(
  BC226&gt;0,
  IF(
    AA226="W",
    BB226 - (BC226 - BD226),
    BB226
  ),
  BB226
)</f>
        <v>-0.5</v>
      </c>
      <c r="BF226" s="13" cm="1">
        <f t="array" ref="BF226">SUMPRODUCT((1/COUNTIFS($A$3:$A226,$A$3:$A226,$H$3:$H226,$H$3:$H226,$I$3:$I226,$I$3:$I226)))</f>
        <v>110</v>
      </c>
    </row>
    <row r="227" spans="1:58" x14ac:dyDescent="0.2">
      <c r="A227" s="91">
        <v>46305</v>
      </c>
      <c r="C227" s="37">
        <v>11.45</v>
      </c>
      <c r="D227" s="13" t="s">
        <v>205</v>
      </c>
      <c r="E227" s="13" t="s">
        <v>134</v>
      </c>
      <c r="H227" t="s">
        <v>139</v>
      </c>
      <c r="I227" s="13">
        <v>2</v>
      </c>
      <c r="J227" s="13">
        <v>1</v>
      </c>
      <c r="K227" s="99" t="s">
        <v>345</v>
      </c>
      <c r="L227" s="37">
        <v>0.5</v>
      </c>
      <c r="M227" s="37">
        <v>12.5</v>
      </c>
      <c r="N227" s="37">
        <v>23</v>
      </c>
      <c r="O227" s="37" t="s">
        <v>17</v>
      </c>
      <c r="Q227" s="13" t="s">
        <v>4</v>
      </c>
      <c r="R227" s="37">
        <v>21.240000000000002</v>
      </c>
      <c r="S227" s="13">
        <v>2</v>
      </c>
      <c r="T227" s="38" t="str">
        <f t="shared" si="534"/>
        <v>0.00</v>
      </c>
      <c r="U227" s="38">
        <f t="shared" si="591"/>
        <v>-0.5</v>
      </c>
      <c r="V227" s="38">
        <f t="shared" si="592"/>
        <v>-15.235319999999991</v>
      </c>
      <c r="W227" s="38">
        <f t="shared" si="593"/>
        <v>108.00000000000004</v>
      </c>
      <c r="X227" s="39">
        <f t="shared" si="594"/>
        <v>-0.14106777777777763</v>
      </c>
      <c r="Y227" s="40">
        <f t="shared" si="595"/>
        <v>-0.15235319999999991</v>
      </c>
      <c r="Z227" s="41">
        <f t="shared" si="596"/>
        <v>-1523.531999999999</v>
      </c>
      <c r="AA227" s="13" t="s">
        <v>57</v>
      </c>
      <c r="AT227" s="37">
        <v>19.2</v>
      </c>
      <c r="AU227" s="37">
        <v>19</v>
      </c>
      <c r="AV227" s="10">
        <f t="shared" si="522"/>
        <v>11</v>
      </c>
      <c r="AW227" s="10">
        <f t="shared" si="597"/>
        <v>21.240000000000002</v>
      </c>
      <c r="AZ227" t="str">
        <f t="shared" si="598"/>
        <v>Yes</v>
      </c>
      <c r="BB227" s="37">
        <f t="shared" si="599"/>
        <v>-0.5</v>
      </c>
      <c r="BC227" s="37">
        <f t="shared" si="590"/>
        <v>4.5650000000000004</v>
      </c>
      <c r="BD227" s="37">
        <f t="shared" si="600"/>
        <v>4.1998000000000006</v>
      </c>
      <c r="BE227" s="37">
        <f t="shared" si="601"/>
        <v>-0.5</v>
      </c>
      <c r="BF227" s="13" cm="1">
        <f t="array" ref="BF227">SUMPRODUCT((1/COUNTIFS($A$3:$A227,$A$3:$A227,$H$3:$H227,$H$3:$H227,$I$3:$I227,$I$3:$I227)))</f>
        <v>111</v>
      </c>
    </row>
    <row r="228" spans="1:58" x14ac:dyDescent="0.2">
      <c r="A228" s="91">
        <v>46305</v>
      </c>
      <c r="C228" s="37">
        <v>11.45</v>
      </c>
      <c r="D228" s="13" t="s">
        <v>205</v>
      </c>
      <c r="E228" s="13" t="s">
        <v>134</v>
      </c>
      <c r="H228" t="s">
        <v>139</v>
      </c>
      <c r="I228" s="13">
        <v>2</v>
      </c>
      <c r="J228" s="13">
        <v>2</v>
      </c>
      <c r="K228" s="101" t="s">
        <v>449</v>
      </c>
      <c r="L228" s="37">
        <v>0.5</v>
      </c>
      <c r="M228" s="37">
        <v>12</v>
      </c>
      <c r="N228" s="37">
        <v>12.13</v>
      </c>
      <c r="O228" s="37" t="s">
        <v>17</v>
      </c>
      <c r="Q228" s="13" t="s">
        <v>4</v>
      </c>
      <c r="R228" s="37">
        <v>11.239600000000001</v>
      </c>
      <c r="S228" s="13">
        <v>1</v>
      </c>
      <c r="T228" s="38">
        <f t="shared" si="534"/>
        <v>5.62</v>
      </c>
      <c r="U228" s="38">
        <f t="shared" si="591"/>
        <v>5.1998000000000006</v>
      </c>
      <c r="V228" s="38">
        <f t="shared" si="592"/>
        <v>-10.035519999999991</v>
      </c>
      <c r="W228" s="38">
        <f t="shared" si="593"/>
        <v>108.50000000000004</v>
      </c>
      <c r="X228" s="39">
        <f t="shared" si="594"/>
        <v>-9.2493271889400805E-2</v>
      </c>
      <c r="Y228" s="40">
        <f t="shared" si="595"/>
        <v>-0.10035519999999991</v>
      </c>
      <c r="Z228" s="41">
        <f t="shared" si="596"/>
        <v>-1003.5519999999991</v>
      </c>
      <c r="AA228" s="13" t="s">
        <v>206</v>
      </c>
      <c r="AT228" s="37">
        <v>12.3</v>
      </c>
      <c r="AU228" s="37">
        <v>13</v>
      </c>
      <c r="AV228" s="10">
        <f t="shared" si="522"/>
        <v>5.5650000000000004</v>
      </c>
      <c r="AW228" s="10">
        <f t="shared" si="597"/>
        <v>11.239600000000001</v>
      </c>
      <c r="AZ228" t="str">
        <f t="shared" si="598"/>
        <v>Yes</v>
      </c>
      <c r="BB228" s="37">
        <f t="shared" si="599"/>
        <v>5.5650000000000004</v>
      </c>
      <c r="BC228" s="37">
        <f t="shared" si="590"/>
        <v>4.5650000000000004</v>
      </c>
      <c r="BD228" s="37">
        <f t="shared" si="600"/>
        <v>4.1998000000000006</v>
      </c>
      <c r="BE228" s="37">
        <f t="shared" si="601"/>
        <v>5.1998000000000006</v>
      </c>
      <c r="BF228" s="13" cm="1">
        <f t="array" ref="BF228">SUMPRODUCT((1/COUNTIFS($A$3:$A228,$A$3:$A228,$H$3:$H228,$H$3:$H228,$I$3:$I228,$I$3:$I228)))</f>
        <v>111</v>
      </c>
    </row>
    <row r="229" spans="1:58" x14ac:dyDescent="0.2">
      <c r="A229" s="91">
        <v>46305</v>
      </c>
      <c r="C229" s="37">
        <v>11.45</v>
      </c>
      <c r="D229" s="13" t="s">
        <v>205</v>
      </c>
      <c r="E229" s="13" t="s">
        <v>134</v>
      </c>
      <c r="H229" t="s">
        <v>139</v>
      </c>
      <c r="I229" s="13">
        <v>2</v>
      </c>
      <c r="J229" s="13">
        <v>11</v>
      </c>
      <c r="K229" t="s">
        <v>452</v>
      </c>
      <c r="L229" s="37">
        <v>0.5</v>
      </c>
      <c r="M229" s="37">
        <v>29</v>
      </c>
      <c r="N229" s="37">
        <v>29</v>
      </c>
      <c r="O229" s="37" t="s">
        <v>17</v>
      </c>
      <c r="Q229" s="13" t="s">
        <v>4</v>
      </c>
      <c r="R229" s="37">
        <v>26.76</v>
      </c>
      <c r="S229" s="13" t="s">
        <v>136</v>
      </c>
      <c r="T229" s="38" t="str">
        <f t="shared" si="534"/>
        <v>0.00</v>
      </c>
      <c r="U229" s="38">
        <f t="shared" si="591"/>
        <v>-0.5</v>
      </c>
      <c r="V229" s="38">
        <f t="shared" si="592"/>
        <v>-10.535519999999991</v>
      </c>
      <c r="W229" s="38">
        <f t="shared" si="593"/>
        <v>109.00000000000004</v>
      </c>
      <c r="X229" s="39">
        <f t="shared" si="594"/>
        <v>-9.6656146788990704E-2</v>
      </c>
      <c r="Y229" s="40">
        <f t="shared" si="595"/>
        <v>-0.10535519999999991</v>
      </c>
      <c r="Z229" s="41">
        <f t="shared" si="596"/>
        <v>-1053.5519999999992</v>
      </c>
      <c r="AA229" s="13" t="s">
        <v>57</v>
      </c>
      <c r="AT229" s="37">
        <v>25.3</v>
      </c>
      <c r="AU229" s="37">
        <v>26</v>
      </c>
      <c r="AV229" s="10">
        <f t="shared" si="522"/>
        <v>14</v>
      </c>
      <c r="AW229" s="10">
        <f t="shared" si="597"/>
        <v>26.76</v>
      </c>
      <c r="AZ229" t="str">
        <f t="shared" si="598"/>
        <v>Yes</v>
      </c>
      <c r="BB229" s="37">
        <f t="shared" si="599"/>
        <v>-0.5</v>
      </c>
      <c r="BC229" s="37">
        <f t="shared" si="590"/>
        <v>4.5650000000000004</v>
      </c>
      <c r="BD229" s="37">
        <f t="shared" si="600"/>
        <v>4.1998000000000006</v>
      </c>
      <c r="BE229" s="37">
        <f t="shared" si="601"/>
        <v>-0.5</v>
      </c>
      <c r="BF229" s="13" cm="1">
        <f t="array" ref="BF229">SUMPRODUCT((1/COUNTIFS($A$3:$A229,$A$3:$A229,$H$3:$H229,$H$3:$H229,$I$3:$I229,$I$3:$I229)))</f>
        <v>110.99999999999999</v>
      </c>
    </row>
    <row r="230" spans="1:58" x14ac:dyDescent="0.2">
      <c r="A230" s="91">
        <v>46305</v>
      </c>
      <c r="C230" s="37">
        <v>11.45</v>
      </c>
      <c r="D230" s="13" t="s">
        <v>205</v>
      </c>
      <c r="E230" s="13" t="s">
        <v>142</v>
      </c>
      <c r="H230" t="s">
        <v>141</v>
      </c>
      <c r="I230" s="13">
        <v>2</v>
      </c>
      <c r="J230" s="13">
        <v>8</v>
      </c>
      <c r="K230" t="s">
        <v>453</v>
      </c>
      <c r="L230" s="37">
        <v>0.5</v>
      </c>
      <c r="M230" s="37">
        <v>11</v>
      </c>
      <c r="N230" s="37">
        <v>12.92</v>
      </c>
      <c r="O230" s="37" t="s">
        <v>17</v>
      </c>
      <c r="Q230" s="13" t="s">
        <v>4</v>
      </c>
      <c r="R230" s="37">
        <v>11.9664</v>
      </c>
      <c r="S230" s="13" t="s">
        <v>136</v>
      </c>
      <c r="T230" s="38" t="str">
        <f t="shared" si="534"/>
        <v>0.00</v>
      </c>
      <c r="U230" s="38">
        <f t="shared" si="591"/>
        <v>-0.5</v>
      </c>
      <c r="V230" s="38">
        <f t="shared" si="592"/>
        <v>-11.035519999999991</v>
      </c>
      <c r="W230" s="38">
        <f t="shared" si="593"/>
        <v>109.50000000000004</v>
      </c>
      <c r="X230" s="39">
        <f t="shared" si="594"/>
        <v>-0.10078100456620992</v>
      </c>
      <c r="Y230" s="40">
        <f t="shared" si="595"/>
        <v>-0.11035519999999992</v>
      </c>
      <c r="Z230" s="41">
        <f t="shared" si="596"/>
        <v>-1103.5519999999992</v>
      </c>
      <c r="AA230" s="13" t="s">
        <v>57</v>
      </c>
      <c r="AT230" s="37">
        <v>10</v>
      </c>
      <c r="AU230" s="37">
        <v>13</v>
      </c>
      <c r="AV230" s="10">
        <f t="shared" si="522"/>
        <v>5.96</v>
      </c>
      <c r="AW230" s="10">
        <f t="shared" si="597"/>
        <v>11.9664</v>
      </c>
      <c r="AZ230" t="str">
        <f t="shared" si="598"/>
        <v>Yes</v>
      </c>
      <c r="BB230" s="37">
        <f t="shared" si="599"/>
        <v>-0.5</v>
      </c>
      <c r="BC230" s="37">
        <f t="shared" si="590"/>
        <v>-0.5</v>
      </c>
      <c r="BD230" s="37">
        <f t="shared" si="600"/>
        <v>-0.5</v>
      </c>
      <c r="BE230" s="37">
        <f t="shared" si="601"/>
        <v>-0.5</v>
      </c>
      <c r="BF230" s="13" cm="1">
        <f t="array" ref="BF230">SUMPRODUCT((1/COUNTIFS($A$3:$A230,$A$3:$A230,$H$3:$H230,$H$3:$H230,$I$3:$I230,$I$3:$I230)))</f>
        <v>111.99999999999999</v>
      </c>
    </row>
    <row r="231" spans="1:58" x14ac:dyDescent="0.2">
      <c r="A231" s="91">
        <v>46305</v>
      </c>
      <c r="C231" s="37">
        <v>11.45</v>
      </c>
      <c r="D231" s="13" t="s">
        <v>205</v>
      </c>
      <c r="E231" s="13" t="s">
        <v>142</v>
      </c>
      <c r="H231" t="s">
        <v>141</v>
      </c>
      <c r="I231" s="13">
        <v>3</v>
      </c>
      <c r="J231" s="13">
        <v>1</v>
      </c>
      <c r="K231" t="s">
        <v>454</v>
      </c>
      <c r="L231" s="37">
        <v>0.5</v>
      </c>
      <c r="M231" s="37">
        <v>8.8000000000000007</v>
      </c>
      <c r="N231" s="37">
        <v>11.5</v>
      </c>
      <c r="O231" s="37" t="s">
        <v>17</v>
      </c>
      <c r="Q231" s="13" t="s">
        <v>4</v>
      </c>
      <c r="R231" s="37">
        <v>10.66</v>
      </c>
      <c r="S231" s="13" t="s">
        <v>136</v>
      </c>
      <c r="T231" s="38" t="str">
        <f t="shared" si="534"/>
        <v>0.00</v>
      </c>
      <c r="U231" s="38">
        <f t="shared" si="591"/>
        <v>-0.5</v>
      </c>
      <c r="V231" s="38">
        <f t="shared" si="592"/>
        <v>-11.535519999999991</v>
      </c>
      <c r="W231" s="38">
        <f t="shared" si="593"/>
        <v>110.00000000000004</v>
      </c>
      <c r="X231" s="39">
        <f t="shared" si="594"/>
        <v>-0.10486836363636351</v>
      </c>
      <c r="Y231" s="40">
        <f t="shared" si="595"/>
        <v>-0.11535519999999991</v>
      </c>
      <c r="Z231" s="41">
        <f t="shared" si="596"/>
        <v>-1153.5519999999992</v>
      </c>
      <c r="AA231" s="13" t="s">
        <v>57</v>
      </c>
      <c r="AT231" s="37">
        <v>8</v>
      </c>
      <c r="AU231" s="37">
        <v>8</v>
      </c>
      <c r="AV231" s="10">
        <f t="shared" si="522"/>
        <v>5.25</v>
      </c>
      <c r="AW231" s="10">
        <f t="shared" si="597"/>
        <v>10.66</v>
      </c>
      <c r="AZ231" t="str">
        <f t="shared" si="598"/>
        <v>Yes</v>
      </c>
      <c r="BB231" s="37">
        <f t="shared" si="599"/>
        <v>-0.5</v>
      </c>
      <c r="BC231" s="37">
        <f t="shared" si="590"/>
        <v>16.48</v>
      </c>
      <c r="BD231" s="37">
        <f t="shared" si="600"/>
        <v>15.161600000000002</v>
      </c>
      <c r="BE231" s="37">
        <f t="shared" si="601"/>
        <v>-0.5</v>
      </c>
      <c r="BF231" s="13" cm="1">
        <f t="array" ref="BF231">SUMPRODUCT((1/COUNTIFS($A$3:$A231,$A$3:$A231,$H$3:$H231,$H$3:$H231,$I$3:$I231,$I$3:$I231)))</f>
        <v>112.99999999999999</v>
      </c>
    </row>
    <row r="232" spans="1:58" x14ac:dyDescent="0.2">
      <c r="A232" s="91">
        <v>46305</v>
      </c>
      <c r="C232" s="37">
        <v>11.45</v>
      </c>
      <c r="D232" s="13" t="s">
        <v>205</v>
      </c>
      <c r="E232" s="13" t="s">
        <v>142</v>
      </c>
      <c r="H232" t="s">
        <v>141</v>
      </c>
      <c r="I232" s="13">
        <v>3</v>
      </c>
      <c r="J232" s="13">
        <v>10</v>
      </c>
      <c r="K232" s="101" t="s">
        <v>455</v>
      </c>
      <c r="L232" s="37">
        <v>0.5</v>
      </c>
      <c r="M232" s="37">
        <v>16.5</v>
      </c>
      <c r="N232" s="37">
        <v>32.9</v>
      </c>
      <c r="O232" s="37" t="s">
        <v>17</v>
      </c>
      <c r="Q232" s="13" t="s">
        <v>4</v>
      </c>
      <c r="R232" s="37">
        <v>30.347999999999999</v>
      </c>
      <c r="S232" s="13">
        <v>1</v>
      </c>
      <c r="T232" s="38">
        <f t="shared" si="534"/>
        <v>15.17</v>
      </c>
      <c r="U232" s="38">
        <f t="shared" si="591"/>
        <v>14.631600000000001</v>
      </c>
      <c r="V232" s="38">
        <f t="shared" si="592"/>
        <v>3.0960800000000095</v>
      </c>
      <c r="W232" s="38">
        <f t="shared" si="593"/>
        <v>110.50000000000004</v>
      </c>
      <c r="X232" s="39">
        <f t="shared" si="594"/>
        <v>2.8018823529411839E-2</v>
      </c>
      <c r="Y232" s="40">
        <f t="shared" si="595"/>
        <v>3.0960800000000094E-2</v>
      </c>
      <c r="Z232" s="41">
        <f t="shared" si="596"/>
        <v>309.60800000000097</v>
      </c>
      <c r="AA232" s="13" t="s">
        <v>206</v>
      </c>
      <c r="AT232" s="37">
        <v>21</v>
      </c>
      <c r="AU232" s="37">
        <v>21</v>
      </c>
      <c r="AV232" s="10">
        <f t="shared" si="522"/>
        <v>15.95</v>
      </c>
      <c r="AW232" s="10">
        <f t="shared" si="597"/>
        <v>30.347999999999999</v>
      </c>
      <c r="AZ232" t="str">
        <f t="shared" si="598"/>
        <v>Yes</v>
      </c>
      <c r="BB232" s="37">
        <f t="shared" si="599"/>
        <v>15.95</v>
      </c>
      <c r="BC232" s="37">
        <f t="shared" si="590"/>
        <v>16.48</v>
      </c>
      <c r="BD232" s="37">
        <f t="shared" si="600"/>
        <v>15.161600000000002</v>
      </c>
      <c r="BE232" s="37">
        <f t="shared" si="601"/>
        <v>14.631600000000001</v>
      </c>
      <c r="BF232" s="13" cm="1">
        <f t="array" ref="BF232">SUMPRODUCT((1/COUNTIFS($A$3:$A232,$A$3:$A232,$H$3:$H232,$H$3:$H232,$I$3:$I232,$I$3:$I232)))</f>
        <v>112.99999999999999</v>
      </c>
    </row>
    <row r="233" spans="1:58" x14ac:dyDescent="0.2">
      <c r="A233" s="91">
        <v>46305</v>
      </c>
      <c r="C233" s="37">
        <v>11.45</v>
      </c>
      <c r="D233" s="13" t="s">
        <v>205</v>
      </c>
      <c r="E233" s="13" t="s">
        <v>142</v>
      </c>
      <c r="H233" t="s">
        <v>141</v>
      </c>
      <c r="I233" s="13">
        <v>3</v>
      </c>
      <c r="J233" s="13">
        <v>10</v>
      </c>
      <c r="K233" s="101" t="s">
        <v>455</v>
      </c>
      <c r="L233" s="37">
        <v>0.2</v>
      </c>
      <c r="M233" s="37">
        <v>4.5999999999999996</v>
      </c>
      <c r="N233" s="37">
        <v>6.15</v>
      </c>
      <c r="O233" s="37" t="s">
        <v>17</v>
      </c>
      <c r="Q233" s="13" t="s">
        <v>89</v>
      </c>
      <c r="R233" s="37">
        <v>5.7380000000000004</v>
      </c>
      <c r="S233" s="13">
        <v>1</v>
      </c>
      <c r="T233" s="38">
        <f t="shared" si="534"/>
        <v>1.1499999999999999</v>
      </c>
      <c r="U233" s="38">
        <f t="shared" si="591"/>
        <v>-0.28839999999999866</v>
      </c>
      <c r="V233" s="38">
        <f t="shared" si="592"/>
        <v>2.8076800000000111</v>
      </c>
      <c r="W233" s="38">
        <f t="shared" si="593"/>
        <v>110.70000000000005</v>
      </c>
      <c r="X233" s="39">
        <f t="shared" si="594"/>
        <v>2.5362962962963052E-2</v>
      </c>
      <c r="Y233" s="40">
        <f t="shared" si="595"/>
        <v>2.807680000000011E-2</v>
      </c>
      <c r="Z233" s="41">
        <f t="shared" si="596"/>
        <v>280.76800000000111</v>
      </c>
      <c r="AA233" s="13" t="s">
        <v>206</v>
      </c>
      <c r="AT233" s="37">
        <v>3.6</v>
      </c>
      <c r="AU233" s="37">
        <v>3.6</v>
      </c>
      <c r="AV233" s="10">
        <f t="shared" si="522"/>
        <v>1.0300000000000002</v>
      </c>
      <c r="AW233" s="10">
        <f t="shared" si="597"/>
        <v>5.7380000000000004</v>
      </c>
      <c r="AZ233" t="str">
        <f t="shared" si="598"/>
        <v>Yes</v>
      </c>
      <c r="BB233" s="37">
        <f t="shared" si="599"/>
        <v>1.03</v>
      </c>
      <c r="BC233" s="37">
        <f t="shared" si="590"/>
        <v>16.48</v>
      </c>
      <c r="BD233" s="37">
        <f t="shared" si="600"/>
        <v>15.161600000000002</v>
      </c>
      <c r="BE233" s="37">
        <f t="shared" si="601"/>
        <v>-0.28839999999999866</v>
      </c>
      <c r="BF233" s="13" cm="1">
        <f t="array" ref="BF233">SUMPRODUCT((1/COUNTIFS($A$3:$A233,$A$3:$A233,$H$3:$H233,$H$3:$H233,$I$3:$I233,$I$3:$I233)))</f>
        <v>112.99999999999997</v>
      </c>
    </row>
    <row r="234" spans="1:58" x14ac:dyDescent="0.2">
      <c r="A234" s="91">
        <v>46305</v>
      </c>
      <c r="C234" s="37">
        <v>11.45</v>
      </c>
      <c r="D234" s="13" t="s">
        <v>205</v>
      </c>
      <c r="E234" s="13" t="s">
        <v>142</v>
      </c>
      <c r="H234" t="s">
        <v>141</v>
      </c>
      <c r="I234" s="13">
        <v>5</v>
      </c>
      <c r="J234" s="13">
        <v>4</v>
      </c>
      <c r="K234" s="92" t="s">
        <v>334</v>
      </c>
      <c r="L234" s="37">
        <v>0.5</v>
      </c>
      <c r="M234" s="37">
        <v>16</v>
      </c>
      <c r="N234" s="37">
        <v>36.450000000000003</v>
      </c>
      <c r="O234" s="37" t="s">
        <v>17</v>
      </c>
      <c r="Q234" s="13" t="s">
        <v>4</v>
      </c>
      <c r="R234" s="37">
        <v>33.614000000000004</v>
      </c>
      <c r="S234" s="13">
        <v>3</v>
      </c>
      <c r="T234" s="38" t="str">
        <f t="shared" si="534"/>
        <v>0.00</v>
      </c>
      <c r="U234" s="38">
        <f t="shared" si="591"/>
        <v>-0.5</v>
      </c>
      <c r="V234" s="38">
        <f t="shared" si="592"/>
        <v>2.3076800000000111</v>
      </c>
      <c r="W234" s="38">
        <f t="shared" si="593"/>
        <v>111.20000000000005</v>
      </c>
      <c r="X234" s="39">
        <f t="shared" si="594"/>
        <v>2.0752517985611601E-2</v>
      </c>
      <c r="Y234" s="40">
        <f t="shared" si="595"/>
        <v>2.3076800000000109E-2</v>
      </c>
      <c r="Z234" s="41">
        <f t="shared" si="596"/>
        <v>230.76800000000111</v>
      </c>
      <c r="AA234" s="13" t="s">
        <v>57</v>
      </c>
      <c r="AT234" s="37">
        <v>26.3</v>
      </c>
      <c r="AU234" s="37">
        <v>26</v>
      </c>
      <c r="AV234" s="10">
        <f t="shared" si="522"/>
        <v>17.725000000000001</v>
      </c>
      <c r="AW234" s="10">
        <f t="shared" si="597"/>
        <v>33.614000000000004</v>
      </c>
      <c r="AZ234" t="str">
        <f t="shared" si="598"/>
        <v>Yes</v>
      </c>
      <c r="BB234" s="37">
        <f t="shared" si="599"/>
        <v>-0.5</v>
      </c>
      <c r="BC234" s="37">
        <f t="shared" si="590"/>
        <v>4.0000000000000202E-2</v>
      </c>
      <c r="BD234" s="37">
        <f t="shared" si="600"/>
        <v>3.6800000000000187E-2</v>
      </c>
      <c r="BE234" s="37">
        <f t="shared" si="601"/>
        <v>-0.5</v>
      </c>
      <c r="BF234" s="13" cm="1">
        <f t="array" ref="BF234">SUMPRODUCT((1/COUNTIFS($A$3:$A234,$A$3:$A234,$H$3:$H234,$H$3:$H234,$I$3:$I234,$I$3:$I234)))</f>
        <v>113.99999999999997</v>
      </c>
    </row>
    <row r="235" spans="1:58" x14ac:dyDescent="0.2">
      <c r="A235" s="91">
        <v>46305</v>
      </c>
      <c r="C235" s="37">
        <v>11.45</v>
      </c>
      <c r="D235" s="13" t="s">
        <v>205</v>
      </c>
      <c r="E235" s="13" t="s">
        <v>142</v>
      </c>
      <c r="H235" t="s">
        <v>141</v>
      </c>
      <c r="I235" s="13">
        <v>5</v>
      </c>
      <c r="J235" s="13">
        <v>4</v>
      </c>
      <c r="K235" s="101" t="s">
        <v>334</v>
      </c>
      <c r="L235" s="37">
        <v>0.2</v>
      </c>
      <c r="M235" s="37">
        <v>4.0999999999999996</v>
      </c>
      <c r="N235" s="37">
        <v>7.2</v>
      </c>
      <c r="O235" s="37" t="s">
        <v>17</v>
      </c>
      <c r="Q235" s="13" t="s">
        <v>89</v>
      </c>
      <c r="R235" s="37">
        <v>6.7040000000000006</v>
      </c>
      <c r="S235" s="13">
        <v>3</v>
      </c>
      <c r="T235" s="38">
        <f t="shared" si="534"/>
        <v>1.34</v>
      </c>
      <c r="U235" s="38">
        <f t="shared" si="591"/>
        <v>1.2368000000000001</v>
      </c>
      <c r="V235" s="38">
        <f t="shared" si="592"/>
        <v>3.5444800000000112</v>
      </c>
      <c r="W235" s="38">
        <f t="shared" si="593"/>
        <v>111.40000000000005</v>
      </c>
      <c r="X235" s="39">
        <f t="shared" si="594"/>
        <v>3.181759425493725E-2</v>
      </c>
      <c r="Y235" s="40">
        <f t="shared" si="595"/>
        <v>3.544480000000011E-2</v>
      </c>
      <c r="Z235" s="41">
        <f t="shared" si="596"/>
        <v>354.44800000000112</v>
      </c>
      <c r="AA235" s="13" t="s">
        <v>206</v>
      </c>
      <c r="AT235" s="37">
        <v>4.5999999999999996</v>
      </c>
      <c r="AU235" s="37">
        <v>4.5999999999999996</v>
      </c>
      <c r="AV235" s="10">
        <f t="shared" si="522"/>
        <v>1.2400000000000002</v>
      </c>
      <c r="AW235" s="10">
        <f t="shared" si="597"/>
        <v>6.7040000000000006</v>
      </c>
      <c r="AZ235" t="str">
        <f t="shared" si="598"/>
        <v>Yes</v>
      </c>
      <c r="BB235" s="37">
        <f t="shared" si="599"/>
        <v>1.2400000000000002</v>
      </c>
      <c r="BC235" s="37">
        <f t="shared" si="590"/>
        <v>4.0000000000000202E-2</v>
      </c>
      <c r="BD235" s="37">
        <f t="shared" si="600"/>
        <v>3.6800000000000187E-2</v>
      </c>
      <c r="BE235" s="37">
        <f t="shared" si="601"/>
        <v>1.2368000000000001</v>
      </c>
      <c r="BF235" s="13" cm="1">
        <f t="array" ref="BF235">SUMPRODUCT((1/COUNTIFS($A$3:$A235,$A$3:$A235,$H$3:$H235,$H$3:$H235,$I$3:$I235,$I$3:$I235)))</f>
        <v>113.99999999999997</v>
      </c>
    </row>
    <row r="236" spans="1:58" x14ac:dyDescent="0.2">
      <c r="A236" s="91">
        <v>46305</v>
      </c>
      <c r="C236" s="37">
        <v>11.45</v>
      </c>
      <c r="D236" s="13" t="s">
        <v>205</v>
      </c>
      <c r="E236" s="13" t="s">
        <v>142</v>
      </c>
      <c r="H236" t="s">
        <v>141</v>
      </c>
      <c r="I236" s="13">
        <v>5</v>
      </c>
      <c r="J236" s="13">
        <v>10</v>
      </c>
      <c r="K236" t="s">
        <v>458</v>
      </c>
      <c r="L236" s="37">
        <v>0.5</v>
      </c>
      <c r="M236" s="37">
        <v>18</v>
      </c>
      <c r="N236" s="37">
        <v>20</v>
      </c>
      <c r="O236" s="37" t="s">
        <v>17</v>
      </c>
      <c r="Q236" s="13" t="s">
        <v>4</v>
      </c>
      <c r="R236" s="37">
        <v>18.48</v>
      </c>
      <c r="S236" s="13" t="s">
        <v>136</v>
      </c>
      <c r="T236" s="38" t="str">
        <f t="shared" si="534"/>
        <v>0.00</v>
      </c>
      <c r="U236" s="38">
        <f t="shared" si="591"/>
        <v>-0.5</v>
      </c>
      <c r="V236" s="38">
        <f t="shared" si="592"/>
        <v>3.0444800000000112</v>
      </c>
      <c r="W236" s="38">
        <f t="shared" si="593"/>
        <v>111.90000000000005</v>
      </c>
      <c r="X236" s="39">
        <f t="shared" si="594"/>
        <v>2.7207149240393295E-2</v>
      </c>
      <c r="Y236" s="40">
        <f t="shared" si="595"/>
        <v>3.0444800000000112E-2</v>
      </c>
      <c r="Z236" s="41">
        <f t="shared" si="596"/>
        <v>304.44800000000112</v>
      </c>
      <c r="AA236" s="13" t="s">
        <v>57</v>
      </c>
      <c r="AT236" s="37">
        <v>17</v>
      </c>
      <c r="AU236" s="37">
        <v>18</v>
      </c>
      <c r="AV236" s="10">
        <f t="shared" si="522"/>
        <v>9.5</v>
      </c>
      <c r="AW236" s="10">
        <f t="shared" si="597"/>
        <v>18.48</v>
      </c>
      <c r="AZ236" t="str">
        <f t="shared" si="598"/>
        <v>Yes</v>
      </c>
      <c r="BB236" s="37">
        <f t="shared" si="599"/>
        <v>-0.5</v>
      </c>
      <c r="BC236" s="37">
        <f t="shared" si="590"/>
        <v>4.0000000000000202E-2</v>
      </c>
      <c r="BD236" s="37">
        <f t="shared" si="600"/>
        <v>3.6800000000000187E-2</v>
      </c>
      <c r="BE236" s="37">
        <f t="shared" si="601"/>
        <v>-0.5</v>
      </c>
      <c r="BF236" s="13" cm="1">
        <f t="array" ref="BF236">SUMPRODUCT((1/COUNTIFS($A$3:$A236,$A$3:$A236,$H$3:$H236,$H$3:$H236,$I$3:$I236,$I$3:$I236)))</f>
        <v>113.99999999999996</v>
      </c>
    </row>
    <row r="237" spans="1:58" x14ac:dyDescent="0.2">
      <c r="A237" s="91">
        <v>46305</v>
      </c>
      <c r="C237" s="37">
        <v>11.45</v>
      </c>
      <c r="D237" s="13" t="s">
        <v>205</v>
      </c>
      <c r="E237" s="13" t="s">
        <v>142</v>
      </c>
      <c r="H237" t="s">
        <v>141</v>
      </c>
      <c r="I237" s="13">
        <v>5</v>
      </c>
      <c r="J237" s="13">
        <v>10</v>
      </c>
      <c r="K237" t="s">
        <v>458</v>
      </c>
      <c r="L237" s="37">
        <v>0.2</v>
      </c>
      <c r="M237" s="37">
        <v>4.5</v>
      </c>
      <c r="N237" s="37">
        <v>4.5</v>
      </c>
      <c r="O237" s="37" t="s">
        <v>17</v>
      </c>
      <c r="Q237" s="13" t="s">
        <v>89</v>
      </c>
      <c r="R237" s="37">
        <v>4.2200000000000006</v>
      </c>
      <c r="S237" s="13" t="s">
        <v>136</v>
      </c>
      <c r="T237" s="38" t="str">
        <f t="shared" si="534"/>
        <v>0.00</v>
      </c>
      <c r="U237" s="38">
        <f t="shared" si="591"/>
        <v>-0.2</v>
      </c>
      <c r="V237" s="38">
        <f t="shared" si="592"/>
        <v>2.844480000000011</v>
      </c>
      <c r="W237" s="38">
        <f t="shared" si="593"/>
        <v>112.10000000000005</v>
      </c>
      <c r="X237" s="39">
        <f t="shared" si="594"/>
        <v>2.5374487065120514E-2</v>
      </c>
      <c r="Y237" s="40">
        <f t="shared" si="595"/>
        <v>2.844480000000011E-2</v>
      </c>
      <c r="Z237" s="41">
        <f t="shared" si="596"/>
        <v>284.44800000000112</v>
      </c>
      <c r="AA237" s="13" t="s">
        <v>57</v>
      </c>
      <c r="AT237" s="37">
        <v>3.3</v>
      </c>
      <c r="AU237" s="37">
        <v>3.3</v>
      </c>
      <c r="AV237" s="10">
        <f t="shared" si="522"/>
        <v>0.7</v>
      </c>
      <c r="AW237" s="10">
        <f t="shared" si="597"/>
        <v>4.2200000000000006</v>
      </c>
      <c r="AZ237" t="str">
        <f t="shared" si="598"/>
        <v>Yes</v>
      </c>
      <c r="BB237" s="37">
        <f t="shared" si="599"/>
        <v>-0.2</v>
      </c>
      <c r="BC237" s="37">
        <f t="shared" si="590"/>
        <v>4.0000000000000202E-2</v>
      </c>
      <c r="BD237" s="37">
        <f t="shared" si="600"/>
        <v>3.6800000000000187E-2</v>
      </c>
      <c r="BE237" s="37">
        <f t="shared" si="601"/>
        <v>-0.2</v>
      </c>
      <c r="BF237" s="13" cm="1">
        <f t="array" ref="BF237">SUMPRODUCT((1/COUNTIFS($A$3:$A237,$A$3:$A237,$H$3:$H237,$H$3:$H237,$I$3:$I237,$I$3:$I237)))</f>
        <v>113.99999999999997</v>
      </c>
    </row>
    <row r="238" spans="1:58" x14ac:dyDescent="0.2">
      <c r="A238" s="91">
        <v>46305</v>
      </c>
      <c r="C238" s="37">
        <v>11.45</v>
      </c>
      <c r="D238" s="13" t="s">
        <v>205</v>
      </c>
      <c r="E238" s="13" t="s">
        <v>134</v>
      </c>
      <c r="H238" t="s">
        <v>139</v>
      </c>
      <c r="I238" s="13">
        <v>6</v>
      </c>
      <c r="J238" s="13">
        <v>2</v>
      </c>
      <c r="K238" t="s">
        <v>459</v>
      </c>
      <c r="L238" s="37">
        <v>0.5</v>
      </c>
      <c r="M238" s="37">
        <v>29</v>
      </c>
      <c r="N238" s="37">
        <v>36.799999999999997</v>
      </c>
      <c r="O238" s="37" t="s">
        <v>17</v>
      </c>
      <c r="Q238" s="13" t="s">
        <v>4</v>
      </c>
      <c r="R238" s="37">
        <v>33.936</v>
      </c>
      <c r="S238" s="13" t="s">
        <v>136</v>
      </c>
      <c r="T238" s="38" t="str">
        <f t="shared" si="534"/>
        <v>0.00</v>
      </c>
      <c r="U238" s="38">
        <f t="shared" si="591"/>
        <v>-0.5</v>
      </c>
      <c r="V238" s="38">
        <f t="shared" si="592"/>
        <v>2.344480000000011</v>
      </c>
      <c r="W238" s="38">
        <f t="shared" si="593"/>
        <v>112.60000000000005</v>
      </c>
      <c r="X238" s="39">
        <f t="shared" si="594"/>
        <v>2.0821314387211454E-2</v>
      </c>
      <c r="Y238" s="40">
        <f t="shared" si="595"/>
        <v>2.3444800000000109E-2</v>
      </c>
      <c r="Z238" s="41">
        <f t="shared" si="596"/>
        <v>234.44800000000109</v>
      </c>
      <c r="AA238" s="13" t="s">
        <v>57</v>
      </c>
      <c r="AT238" s="37">
        <v>34.1</v>
      </c>
      <c r="AU238" s="37">
        <v>31</v>
      </c>
      <c r="AV238" s="10">
        <f t="shared" si="522"/>
        <v>17.899999999999999</v>
      </c>
      <c r="AW238" s="10">
        <f t="shared" si="597"/>
        <v>33.936</v>
      </c>
      <c r="AZ238" t="str">
        <f t="shared" si="598"/>
        <v>Yes</v>
      </c>
      <c r="BB238" s="37">
        <f t="shared" si="599"/>
        <v>-0.5</v>
      </c>
      <c r="BC238" s="37">
        <f t="shared" si="590"/>
        <v>-1.5</v>
      </c>
      <c r="BD238" s="37">
        <f t="shared" si="600"/>
        <v>-1.5</v>
      </c>
      <c r="BE238" s="37">
        <f t="shared" si="601"/>
        <v>-0.5</v>
      </c>
      <c r="BF238" s="13" cm="1">
        <f t="array" ref="BF238">SUMPRODUCT((1/COUNTIFS($A$3:$A238,$A$3:$A238,$H$3:$H238,$H$3:$H238,$I$3:$I238,$I$3:$I238)))</f>
        <v>114.99999999999997</v>
      </c>
    </row>
    <row r="239" spans="1:58" x14ac:dyDescent="0.2">
      <c r="A239" s="91">
        <v>46305</v>
      </c>
      <c r="C239" s="37">
        <v>11.45</v>
      </c>
      <c r="D239" s="13" t="s">
        <v>205</v>
      </c>
      <c r="E239" s="13" t="s">
        <v>134</v>
      </c>
      <c r="H239" t="s">
        <v>139</v>
      </c>
      <c r="I239" s="13">
        <v>6</v>
      </c>
      <c r="J239" s="13">
        <v>3</v>
      </c>
      <c r="K239" t="s">
        <v>257</v>
      </c>
      <c r="L239" s="37">
        <v>0.5</v>
      </c>
      <c r="M239" s="37">
        <v>19</v>
      </c>
      <c r="N239" s="37">
        <v>22.5</v>
      </c>
      <c r="O239" s="37" t="s">
        <v>17</v>
      </c>
      <c r="Q239" s="13" t="s">
        <v>4</v>
      </c>
      <c r="R239" s="37">
        <v>20.78</v>
      </c>
      <c r="S239" s="13" t="s">
        <v>136</v>
      </c>
      <c r="T239" s="38" t="str">
        <f t="shared" si="534"/>
        <v>0.00</v>
      </c>
      <c r="U239" s="38">
        <f t="shared" si="591"/>
        <v>-0.5</v>
      </c>
      <c r="V239" s="38">
        <f t="shared" si="592"/>
        <v>1.844480000000011</v>
      </c>
      <c r="W239" s="38">
        <f t="shared" si="593"/>
        <v>113.10000000000005</v>
      </c>
      <c r="X239" s="39">
        <f t="shared" si="594"/>
        <v>1.6308399646330771E-2</v>
      </c>
      <c r="Y239" s="40">
        <f t="shared" si="595"/>
        <v>1.8444800000000108E-2</v>
      </c>
      <c r="Z239" s="41">
        <f t="shared" si="596"/>
        <v>184.44800000000109</v>
      </c>
      <c r="AA239" s="13" t="s">
        <v>57</v>
      </c>
      <c r="AT239" s="37">
        <v>20</v>
      </c>
      <c r="AU239" s="37">
        <v>21</v>
      </c>
      <c r="AV239" s="10">
        <f t="shared" si="522"/>
        <v>10.75</v>
      </c>
      <c r="AW239" s="10">
        <f t="shared" si="597"/>
        <v>20.78</v>
      </c>
      <c r="AZ239" t="str">
        <f t="shared" si="598"/>
        <v>Yes</v>
      </c>
      <c r="BB239" s="37">
        <f t="shared" si="599"/>
        <v>-0.5</v>
      </c>
      <c r="BC239" s="37">
        <f t="shared" si="590"/>
        <v>-1.5</v>
      </c>
      <c r="BD239" s="37">
        <f t="shared" si="600"/>
        <v>-1.5</v>
      </c>
      <c r="BE239" s="37">
        <f t="shared" si="601"/>
        <v>-0.5</v>
      </c>
      <c r="BF239" s="13" cm="1">
        <f t="array" ref="BF239">SUMPRODUCT((1/COUNTIFS($A$3:$A239,$A$3:$A239,$H$3:$H239,$H$3:$H239,$I$3:$I239,$I$3:$I239)))</f>
        <v>114.99999999999997</v>
      </c>
    </row>
    <row r="240" spans="1:58" x14ac:dyDescent="0.2">
      <c r="A240" s="91">
        <v>46305</v>
      </c>
      <c r="C240" s="37">
        <v>11.45</v>
      </c>
      <c r="D240" s="13" t="s">
        <v>205</v>
      </c>
      <c r="E240" s="13" t="s">
        <v>134</v>
      </c>
      <c r="H240" t="s">
        <v>139</v>
      </c>
      <c r="I240" s="13">
        <v>6</v>
      </c>
      <c r="J240" s="13">
        <v>5</v>
      </c>
      <c r="K240" t="s">
        <v>460</v>
      </c>
      <c r="L240" s="37">
        <v>0.5</v>
      </c>
      <c r="M240" s="37">
        <v>16</v>
      </c>
      <c r="N240" s="37">
        <v>29</v>
      </c>
      <c r="O240" s="37" t="s">
        <v>17</v>
      </c>
      <c r="Q240" s="13" t="s">
        <v>4</v>
      </c>
      <c r="R240" s="37">
        <v>26.76</v>
      </c>
      <c r="S240" s="13" t="s">
        <v>136</v>
      </c>
      <c r="T240" s="38" t="str">
        <f t="shared" si="534"/>
        <v>0.00</v>
      </c>
      <c r="U240" s="38">
        <f t="shared" si="591"/>
        <v>-0.5</v>
      </c>
      <c r="V240" s="38">
        <f t="shared" si="592"/>
        <v>1.344480000000011</v>
      </c>
      <c r="W240" s="38">
        <f t="shared" si="593"/>
        <v>113.60000000000005</v>
      </c>
      <c r="X240" s="39">
        <f t="shared" si="594"/>
        <v>1.1835211267605726E-2</v>
      </c>
      <c r="Y240" s="40">
        <f t="shared" si="595"/>
        <v>1.3444800000000111E-2</v>
      </c>
      <c r="Z240" s="41">
        <f t="shared" si="596"/>
        <v>134.44800000000109</v>
      </c>
      <c r="AA240" s="13" t="s">
        <v>57</v>
      </c>
      <c r="AT240" s="37">
        <v>26</v>
      </c>
      <c r="AU240" s="37">
        <v>26</v>
      </c>
      <c r="AV240" s="10">
        <f t="shared" si="522"/>
        <v>14</v>
      </c>
      <c r="AW240" s="10">
        <f t="shared" si="597"/>
        <v>26.76</v>
      </c>
      <c r="AZ240" t="str">
        <f t="shared" si="598"/>
        <v>Yes</v>
      </c>
      <c r="BB240" s="37">
        <f t="shared" si="599"/>
        <v>-0.5</v>
      </c>
      <c r="BC240" s="37">
        <f t="shared" si="590"/>
        <v>-1.5</v>
      </c>
      <c r="BD240" s="37">
        <f t="shared" si="600"/>
        <v>-1.5</v>
      </c>
      <c r="BE240" s="37">
        <f t="shared" si="601"/>
        <v>-0.5</v>
      </c>
      <c r="BF240" s="13" cm="1">
        <f t="array" ref="BF240">SUMPRODUCT((1/COUNTIFS($A$3:$A240,$A$3:$A240,$H$3:$H240,$H$3:$H240,$I$3:$I240,$I$3:$I240)))</f>
        <v>114.99999999999996</v>
      </c>
    </row>
    <row r="241" spans="1:58" x14ac:dyDescent="0.2">
      <c r="A241" s="91">
        <v>46305</v>
      </c>
      <c r="C241" s="37">
        <v>11.45</v>
      </c>
      <c r="D241" s="13" t="s">
        <v>205</v>
      </c>
      <c r="E241" s="13" t="s">
        <v>142</v>
      </c>
      <c r="H241" t="s">
        <v>141</v>
      </c>
      <c r="I241" s="13">
        <v>6</v>
      </c>
      <c r="J241" s="13">
        <v>10</v>
      </c>
      <c r="K241" s="98" t="s">
        <v>461</v>
      </c>
      <c r="L241" s="37">
        <v>0.5</v>
      </c>
      <c r="M241" s="37">
        <v>15</v>
      </c>
      <c r="N241" s="37">
        <v>22.61</v>
      </c>
      <c r="O241" s="37" t="s">
        <v>17</v>
      </c>
      <c r="Q241" s="13" t="s">
        <v>4</v>
      </c>
      <c r="R241" s="37">
        <v>20.8812</v>
      </c>
      <c r="S241" s="13">
        <v>4</v>
      </c>
      <c r="T241" s="38" t="str">
        <f t="shared" si="534"/>
        <v>0.00</v>
      </c>
      <c r="U241" s="38">
        <f t="shared" si="591"/>
        <v>-0.5</v>
      </c>
      <c r="V241" s="38">
        <f t="shared" si="592"/>
        <v>0.844480000000011</v>
      </c>
      <c r="W241" s="38">
        <f t="shared" si="593"/>
        <v>114.10000000000005</v>
      </c>
      <c r="X241" s="39">
        <f t="shared" si="594"/>
        <v>7.4012269938651233E-3</v>
      </c>
      <c r="Y241" s="40">
        <f t="shared" si="595"/>
        <v>8.4448000000001099E-3</v>
      </c>
      <c r="Z241" s="41">
        <f t="shared" si="596"/>
        <v>84.448000000001102</v>
      </c>
      <c r="AA241" s="13" t="s">
        <v>57</v>
      </c>
      <c r="AT241" s="37">
        <v>18</v>
      </c>
      <c r="AU241" s="37">
        <v>18</v>
      </c>
      <c r="AV241" s="10">
        <f t="shared" si="522"/>
        <v>10.805</v>
      </c>
      <c r="AW241" s="10">
        <f t="shared" si="597"/>
        <v>20.8812</v>
      </c>
      <c r="AZ241" t="str">
        <f t="shared" si="598"/>
        <v>Yes</v>
      </c>
      <c r="BB241" s="37">
        <f t="shared" si="599"/>
        <v>-0.5</v>
      </c>
      <c r="BC241" s="37">
        <f t="shared" si="590"/>
        <v>-1.2</v>
      </c>
      <c r="BD241" s="37">
        <f t="shared" si="600"/>
        <v>-1.2</v>
      </c>
      <c r="BE241" s="37">
        <f t="shared" si="601"/>
        <v>-0.5</v>
      </c>
      <c r="BF241" s="13" cm="1">
        <f t="array" ref="BF241">SUMPRODUCT((1/COUNTIFS($A$3:$A241,$A$3:$A241,$H$3:$H241,$H$3:$H241,$I$3:$I241,$I$3:$I241)))</f>
        <v>115.99999999999996</v>
      </c>
    </row>
    <row r="242" spans="1:58" x14ac:dyDescent="0.2">
      <c r="A242" s="91">
        <v>46305</v>
      </c>
      <c r="C242" s="37">
        <v>11.45</v>
      </c>
      <c r="D242" s="13" t="s">
        <v>205</v>
      </c>
      <c r="E242" s="13" t="s">
        <v>142</v>
      </c>
      <c r="H242" t="s">
        <v>141</v>
      </c>
      <c r="I242" s="13">
        <v>6</v>
      </c>
      <c r="J242" s="13">
        <v>10</v>
      </c>
      <c r="K242" s="98" t="s">
        <v>461</v>
      </c>
      <c r="L242" s="37">
        <v>0.2</v>
      </c>
      <c r="M242" s="37">
        <v>4.3</v>
      </c>
      <c r="N242" s="37">
        <v>4.63</v>
      </c>
      <c r="O242" s="37" t="s">
        <v>17</v>
      </c>
      <c r="Q242" s="13" t="s">
        <v>89</v>
      </c>
      <c r="R242" s="37">
        <v>4.3395999999999999</v>
      </c>
      <c r="S242" s="13">
        <v>4</v>
      </c>
      <c r="T242" s="38" t="str">
        <f t="shared" si="534"/>
        <v>0.00</v>
      </c>
      <c r="U242" s="38">
        <f t="shared" si="591"/>
        <v>-0.2</v>
      </c>
      <c r="V242" s="38">
        <f t="shared" si="592"/>
        <v>0.64448000000001104</v>
      </c>
      <c r="W242" s="38">
        <f t="shared" si="593"/>
        <v>114.30000000000005</v>
      </c>
      <c r="X242" s="39">
        <f t="shared" si="594"/>
        <v>5.6384951881015815E-3</v>
      </c>
      <c r="Y242" s="40">
        <f t="shared" si="595"/>
        <v>6.4448000000001107E-3</v>
      </c>
      <c r="Z242" s="41">
        <f t="shared" si="596"/>
        <v>64.448000000001102</v>
      </c>
      <c r="AA242" s="13" t="s">
        <v>57</v>
      </c>
      <c r="AT242" s="37">
        <v>3.8</v>
      </c>
      <c r="AU242" s="37">
        <v>3.8</v>
      </c>
      <c r="AV242" s="10">
        <f t="shared" si="522"/>
        <v>0.72599999999999998</v>
      </c>
      <c r="AW242" s="10">
        <f t="shared" si="597"/>
        <v>4.3395999999999999</v>
      </c>
      <c r="AZ242" t="str">
        <f t="shared" si="598"/>
        <v>Yes</v>
      </c>
      <c r="BB242" s="37">
        <f t="shared" si="599"/>
        <v>-0.2</v>
      </c>
      <c r="BC242" s="37">
        <f t="shared" si="590"/>
        <v>-1.2</v>
      </c>
      <c r="BD242" s="37">
        <f t="shared" si="600"/>
        <v>-1.2</v>
      </c>
      <c r="BE242" s="37">
        <f t="shared" si="601"/>
        <v>-0.2</v>
      </c>
      <c r="BF242" s="13" cm="1">
        <f t="array" ref="BF242">SUMPRODUCT((1/COUNTIFS($A$3:$A242,$A$3:$A242,$H$3:$H242,$H$3:$H242,$I$3:$I242,$I$3:$I242)))</f>
        <v>115.99999999999996</v>
      </c>
    </row>
    <row r="243" spans="1:58" x14ac:dyDescent="0.2">
      <c r="A243" s="91">
        <v>46305</v>
      </c>
      <c r="C243" s="37">
        <v>11.45</v>
      </c>
      <c r="D243" s="13" t="s">
        <v>205</v>
      </c>
      <c r="E243" s="13" t="s">
        <v>142</v>
      </c>
      <c r="H243" t="s">
        <v>141</v>
      </c>
      <c r="I243" s="13">
        <v>6</v>
      </c>
      <c r="J243" s="13">
        <v>11</v>
      </c>
      <c r="K243" t="s">
        <v>462</v>
      </c>
      <c r="L243" s="37">
        <v>0.5</v>
      </c>
      <c r="M243" s="37">
        <v>13.5</v>
      </c>
      <c r="N243" s="37">
        <v>17.47</v>
      </c>
      <c r="O243" s="37" t="s">
        <v>17</v>
      </c>
      <c r="Q243" s="13" t="s">
        <v>4</v>
      </c>
      <c r="R243" s="37">
        <v>16.1524</v>
      </c>
      <c r="S243" s="13" t="s">
        <v>136</v>
      </c>
      <c r="T243" s="38" t="str">
        <f t="shared" si="534"/>
        <v>0.00</v>
      </c>
      <c r="U243" s="38">
        <f t="shared" si="591"/>
        <v>-0.5</v>
      </c>
      <c r="V243" s="38">
        <f t="shared" si="592"/>
        <v>0.14448000000001104</v>
      </c>
      <c r="W243" s="38">
        <f t="shared" si="593"/>
        <v>114.80000000000005</v>
      </c>
      <c r="X243" s="39">
        <f t="shared" si="594"/>
        <v>1.2585365853659493E-3</v>
      </c>
      <c r="Y243" s="40">
        <f t="shared" si="595"/>
        <v>1.4448000000001104E-3</v>
      </c>
      <c r="Z243" s="41">
        <f t="shared" si="596"/>
        <v>14.448000000001105</v>
      </c>
      <c r="AA243" s="13" t="s">
        <v>57</v>
      </c>
      <c r="AT243" s="37">
        <v>14.9</v>
      </c>
      <c r="AU243" s="37">
        <v>14</v>
      </c>
      <c r="AV243" s="10">
        <f t="shared" si="522"/>
        <v>8.2349999999999994</v>
      </c>
      <c r="AW243" s="10">
        <f t="shared" si="597"/>
        <v>16.1524</v>
      </c>
      <c r="AZ243" t="str">
        <f t="shared" si="598"/>
        <v>Yes</v>
      </c>
      <c r="BB243" s="37">
        <f t="shared" si="599"/>
        <v>-0.5</v>
      </c>
      <c r="BC243" s="37">
        <f t="shared" si="590"/>
        <v>-1.2</v>
      </c>
      <c r="BD243" s="37">
        <f t="shared" si="600"/>
        <v>-1.2</v>
      </c>
      <c r="BE243" s="37">
        <f t="shared" si="601"/>
        <v>-0.5</v>
      </c>
      <c r="BF243" s="13" cm="1">
        <f t="array" ref="BF243">SUMPRODUCT((1/COUNTIFS($A$3:$A243,$A$3:$A243,$H$3:$H243,$H$3:$H243,$I$3:$I243,$I$3:$I243)))</f>
        <v>115.99999999999994</v>
      </c>
    </row>
    <row r="244" spans="1:58" x14ac:dyDescent="0.2">
      <c r="A244" s="91">
        <v>46305</v>
      </c>
      <c r="C244" s="37">
        <v>11.45</v>
      </c>
      <c r="D244" s="13" t="s">
        <v>205</v>
      </c>
      <c r="E244" s="13" t="s">
        <v>142</v>
      </c>
      <c r="H244" t="s">
        <v>141</v>
      </c>
      <c r="I244" s="13">
        <v>8</v>
      </c>
      <c r="J244" s="13">
        <v>5</v>
      </c>
      <c r="K244" t="s">
        <v>464</v>
      </c>
      <c r="L244" s="37">
        <v>0.5</v>
      </c>
      <c r="M244" s="37">
        <v>13.5</v>
      </c>
      <c r="N244" s="37">
        <v>18</v>
      </c>
      <c r="O244" s="37" t="s">
        <v>17</v>
      </c>
      <c r="Q244" s="13" t="s">
        <v>4</v>
      </c>
      <c r="R244" s="37">
        <v>16.64</v>
      </c>
      <c r="S244" s="13" t="s">
        <v>136</v>
      </c>
      <c r="T244" s="38" t="str">
        <f t="shared" si="534"/>
        <v>0.00</v>
      </c>
      <c r="U244" s="38">
        <f t="shared" si="591"/>
        <v>-0.5</v>
      </c>
      <c r="V244" s="38">
        <f t="shared" si="592"/>
        <v>-0.35551999999998896</v>
      </c>
      <c r="W244" s="38">
        <f t="shared" si="593"/>
        <v>115.30000000000005</v>
      </c>
      <c r="X244" s="39">
        <f t="shared" si="594"/>
        <v>-3.0834345186469105E-3</v>
      </c>
      <c r="Y244" s="40">
        <f t="shared" si="595"/>
        <v>-3.5551999999998895E-3</v>
      </c>
      <c r="Z244" s="41">
        <f t="shared" si="596"/>
        <v>-35.551999999998898</v>
      </c>
      <c r="AA244" s="13" t="s">
        <v>57</v>
      </c>
      <c r="AT244" s="37">
        <v>17.2</v>
      </c>
      <c r="AU244" s="37">
        <v>15</v>
      </c>
      <c r="AV244" s="10">
        <f t="shared" si="522"/>
        <v>8.5</v>
      </c>
      <c r="AW244" s="10">
        <f t="shared" si="597"/>
        <v>16.64</v>
      </c>
      <c r="AZ244" t="str">
        <f t="shared" si="598"/>
        <v>Yes</v>
      </c>
      <c r="BB244" s="37">
        <f t="shared" si="599"/>
        <v>-0.5</v>
      </c>
      <c r="BC244" s="37">
        <f t="shared" si="590"/>
        <v>-0.5</v>
      </c>
      <c r="BD244" s="37">
        <f t="shared" si="600"/>
        <v>-0.5</v>
      </c>
      <c r="BE244" s="37">
        <f t="shared" si="601"/>
        <v>-0.5</v>
      </c>
      <c r="BF244" s="13" cm="1">
        <f t="array" ref="BF244">SUMPRODUCT((1/COUNTIFS($A$3:$A244,$A$3:$A244,$H$3:$H244,$H$3:$H244,$I$3:$I244,$I$3:$I244)))</f>
        <v>116.99999999999994</v>
      </c>
    </row>
    <row r="245" spans="1:58" x14ac:dyDescent="0.2">
      <c r="A245" s="91">
        <v>46305</v>
      </c>
      <c r="C245" s="37">
        <v>11.45</v>
      </c>
      <c r="D245" s="13" t="s">
        <v>205</v>
      </c>
      <c r="E245" s="13" t="s">
        <v>134</v>
      </c>
      <c r="H245" t="s">
        <v>139</v>
      </c>
      <c r="I245" s="13">
        <v>9</v>
      </c>
      <c r="J245" s="13">
        <v>2</v>
      </c>
      <c r="K245" s="98" t="s">
        <v>465</v>
      </c>
      <c r="L245" s="37">
        <v>0.5</v>
      </c>
      <c r="M245" s="37">
        <v>12.5</v>
      </c>
      <c r="N245" s="37">
        <v>19.22</v>
      </c>
      <c r="O245" s="37" t="s">
        <v>17</v>
      </c>
      <c r="Q245" s="13" t="s">
        <v>4</v>
      </c>
      <c r="R245" s="37">
        <v>17.7624</v>
      </c>
      <c r="S245" s="13">
        <v>4</v>
      </c>
      <c r="T245" s="38" t="str">
        <f t="shared" si="534"/>
        <v>0.00</v>
      </c>
      <c r="U245" s="38">
        <f t="shared" si="591"/>
        <v>-0.5</v>
      </c>
      <c r="V245" s="38">
        <f t="shared" si="592"/>
        <v>-0.85551999999998896</v>
      </c>
      <c r="W245" s="38">
        <f t="shared" si="593"/>
        <v>115.80000000000005</v>
      </c>
      <c r="X245" s="39">
        <f t="shared" si="594"/>
        <v>-7.3879101899826305E-3</v>
      </c>
      <c r="Y245" s="40">
        <f t="shared" si="595"/>
        <v>-8.5551999999998896E-3</v>
      </c>
      <c r="Z245" s="41">
        <f t="shared" si="596"/>
        <v>-85.551999999998898</v>
      </c>
      <c r="AA245" s="13" t="s">
        <v>57</v>
      </c>
      <c r="AT245" s="37">
        <v>17.100000000000001</v>
      </c>
      <c r="AU245" s="37">
        <v>15</v>
      </c>
      <c r="AV245" s="10">
        <f t="shared" si="522"/>
        <v>9.11</v>
      </c>
      <c r="AW245" s="10">
        <f t="shared" si="597"/>
        <v>17.7624</v>
      </c>
      <c r="AZ245" t="str">
        <f t="shared" si="598"/>
        <v>Yes</v>
      </c>
      <c r="BB245" s="37">
        <f t="shared" si="599"/>
        <v>-0.5</v>
      </c>
      <c r="BC245" s="37">
        <f t="shared" si="590"/>
        <v>-0.5</v>
      </c>
      <c r="BD245" s="37">
        <f t="shared" si="600"/>
        <v>-0.5</v>
      </c>
      <c r="BE245" s="37">
        <f t="shared" si="601"/>
        <v>-0.5</v>
      </c>
      <c r="BF245" s="13" cm="1">
        <f t="array" ref="BF245">SUMPRODUCT((1/COUNTIFS($A$3:$A245,$A$3:$A245,$H$3:$H245,$H$3:$H245,$I$3:$I245,$I$3:$I245)))</f>
        <v>117.99999999999994</v>
      </c>
    </row>
    <row r="246" spans="1:58" x14ac:dyDescent="0.2">
      <c r="A246" s="91">
        <v>46305</v>
      </c>
      <c r="C246" s="37">
        <v>11.45</v>
      </c>
      <c r="D246" s="13" t="s">
        <v>205</v>
      </c>
      <c r="E246" s="13" t="s">
        <v>142</v>
      </c>
      <c r="H246" t="s">
        <v>141</v>
      </c>
      <c r="I246" s="13">
        <v>9</v>
      </c>
      <c r="J246" s="13">
        <v>5</v>
      </c>
      <c r="K246" t="s">
        <v>227</v>
      </c>
      <c r="L246" s="37">
        <v>0.5</v>
      </c>
      <c r="M246" s="37">
        <v>19</v>
      </c>
      <c r="N246" s="37">
        <v>21</v>
      </c>
      <c r="O246" s="37" t="s">
        <v>17</v>
      </c>
      <c r="Q246" s="13" t="s">
        <v>4</v>
      </c>
      <c r="R246" s="37">
        <v>19.400000000000002</v>
      </c>
      <c r="S246" s="13" t="s">
        <v>136</v>
      </c>
      <c r="T246" s="38" t="str">
        <f t="shared" si="534"/>
        <v>0.00</v>
      </c>
      <c r="U246" s="38">
        <f t="shared" si="591"/>
        <v>-0.5</v>
      </c>
      <c r="V246" s="38">
        <f t="shared" si="592"/>
        <v>-1.355519999999989</v>
      </c>
      <c r="W246" s="38">
        <f t="shared" si="593"/>
        <v>116.30000000000005</v>
      </c>
      <c r="X246" s="39">
        <f t="shared" si="594"/>
        <v>-1.1655374032674018E-2</v>
      </c>
      <c r="Y246" s="40">
        <f t="shared" si="595"/>
        <v>-1.3555199999999889E-2</v>
      </c>
      <c r="Z246" s="41">
        <f t="shared" si="596"/>
        <v>-135.55199999999888</v>
      </c>
      <c r="AA246" s="13" t="s">
        <v>57</v>
      </c>
      <c r="AT246" s="37">
        <v>16.3</v>
      </c>
      <c r="AU246" s="37">
        <v>16</v>
      </c>
      <c r="AV246" s="10">
        <f t="shared" si="522"/>
        <v>10</v>
      </c>
      <c r="AW246" s="10">
        <f t="shared" si="597"/>
        <v>19.400000000000002</v>
      </c>
      <c r="AZ246" t="str">
        <f t="shared" si="598"/>
        <v>Yes</v>
      </c>
      <c r="BB246" s="37">
        <f t="shared" si="599"/>
        <v>-0.5</v>
      </c>
      <c r="BC246" s="37">
        <f t="shared" si="590"/>
        <v>-0.5</v>
      </c>
      <c r="BD246" s="37">
        <f t="shared" si="600"/>
        <v>-0.5</v>
      </c>
      <c r="BE246" s="37">
        <f t="shared" si="601"/>
        <v>-0.5</v>
      </c>
      <c r="BF246" s="13" cm="1">
        <f t="array" ref="BF246">SUMPRODUCT((1/COUNTIFS($A$3:$A246,$A$3:$A246,$H$3:$H246,$H$3:$H246,$I$3:$I246,$I$3:$I246)))</f>
        <v>118.99999999999994</v>
      </c>
    </row>
    <row r="247" spans="1:58" x14ac:dyDescent="0.2">
      <c r="A247" s="91">
        <v>46305</v>
      </c>
      <c r="C247" s="37">
        <v>11.45</v>
      </c>
      <c r="D247" s="13" t="s">
        <v>205</v>
      </c>
      <c r="E247" s="13" t="s">
        <v>134</v>
      </c>
      <c r="H247" t="s">
        <v>139</v>
      </c>
      <c r="I247" s="13">
        <v>10</v>
      </c>
      <c r="J247" s="13">
        <v>5</v>
      </c>
      <c r="K247" t="s">
        <v>468</v>
      </c>
      <c r="L247" s="37">
        <v>0.5</v>
      </c>
      <c r="M247" s="37">
        <v>17</v>
      </c>
      <c r="N247" s="37">
        <v>22.79</v>
      </c>
      <c r="O247" s="37" t="s">
        <v>17</v>
      </c>
      <c r="Q247" s="13" t="s">
        <v>4</v>
      </c>
      <c r="R247" s="37">
        <v>21.046800000000001</v>
      </c>
      <c r="S247" s="13" t="s">
        <v>136</v>
      </c>
      <c r="T247" s="38" t="str">
        <f t="shared" si="534"/>
        <v>0.00</v>
      </c>
      <c r="U247" s="38">
        <f t="shared" si="591"/>
        <v>-0.5</v>
      </c>
      <c r="V247" s="38">
        <f t="shared" si="592"/>
        <v>-1.855519999999989</v>
      </c>
      <c r="W247" s="38">
        <f t="shared" si="593"/>
        <v>116.80000000000005</v>
      </c>
      <c r="X247" s="39">
        <f t="shared" si="594"/>
        <v>-1.5886301369862913E-2</v>
      </c>
      <c r="Y247" s="40">
        <f t="shared" si="595"/>
        <v>-1.855519999999989E-2</v>
      </c>
      <c r="Z247" s="41">
        <f t="shared" si="596"/>
        <v>-185.55199999999888</v>
      </c>
      <c r="AA247" s="13" t="s">
        <v>57</v>
      </c>
      <c r="AT247" s="37">
        <v>21</v>
      </c>
      <c r="AU247" s="37">
        <v>21</v>
      </c>
      <c r="AV247" s="10">
        <f t="shared" si="522"/>
        <v>10.895</v>
      </c>
      <c r="AW247" s="10">
        <f t="shared" si="597"/>
        <v>21.046800000000001</v>
      </c>
      <c r="AZ247" t="str">
        <f t="shared" si="598"/>
        <v>Yes</v>
      </c>
      <c r="BB247" s="37">
        <f t="shared" si="599"/>
        <v>-0.5</v>
      </c>
      <c r="BC247" s="37">
        <f t="shared" si="590"/>
        <v>-1</v>
      </c>
      <c r="BD247" s="37">
        <f t="shared" si="600"/>
        <v>-1</v>
      </c>
      <c r="BE247" s="37">
        <f t="shared" si="601"/>
        <v>-0.5</v>
      </c>
      <c r="BF247" s="13" cm="1">
        <f t="array" ref="BF247">SUMPRODUCT((1/COUNTIFS($A$3:$A247,$A$3:$A247,$H$3:$H247,$H$3:$H247,$I$3:$I247,$I$3:$I247)))</f>
        <v>119.99999999999994</v>
      </c>
    </row>
    <row r="248" spans="1:58" x14ac:dyDescent="0.2">
      <c r="A248" s="91">
        <v>46305</v>
      </c>
      <c r="C248" s="37">
        <v>11.45</v>
      </c>
      <c r="D248" s="13" t="s">
        <v>205</v>
      </c>
      <c r="E248" s="13" t="s">
        <v>134</v>
      </c>
      <c r="H248" t="s">
        <v>139</v>
      </c>
      <c r="I248" s="13">
        <v>10</v>
      </c>
      <c r="J248" s="13">
        <v>11</v>
      </c>
      <c r="K248" t="s">
        <v>470</v>
      </c>
      <c r="L248" s="37">
        <v>0.5</v>
      </c>
      <c r="M248" s="37">
        <v>16</v>
      </c>
      <c r="N248" s="37">
        <v>22</v>
      </c>
      <c r="O248" s="37" t="s">
        <v>17</v>
      </c>
      <c r="Q248" s="13" t="s">
        <v>4</v>
      </c>
      <c r="R248" s="37">
        <v>20.32</v>
      </c>
      <c r="S248" s="13" t="s">
        <v>136</v>
      </c>
      <c r="T248" s="38" t="str">
        <f t="shared" si="534"/>
        <v>0.00</v>
      </c>
      <c r="U248" s="38">
        <f t="shared" si="591"/>
        <v>-0.5</v>
      </c>
      <c r="V248" s="38">
        <f t="shared" si="592"/>
        <v>-2.3555199999999887</v>
      </c>
      <c r="W248" s="38">
        <f t="shared" si="593"/>
        <v>117.30000000000005</v>
      </c>
      <c r="X248" s="39">
        <f t="shared" si="594"/>
        <v>-2.0081159420289749E-2</v>
      </c>
      <c r="Y248" s="40">
        <f t="shared" si="595"/>
        <v>-2.3555199999999887E-2</v>
      </c>
      <c r="Z248" s="41">
        <f t="shared" si="596"/>
        <v>-235.55199999999888</v>
      </c>
      <c r="AA248" s="13" t="s">
        <v>57</v>
      </c>
      <c r="AT248" s="37">
        <v>19</v>
      </c>
      <c r="AU248" s="37">
        <v>26</v>
      </c>
      <c r="AV248" s="10">
        <f t="shared" si="522"/>
        <v>10.5</v>
      </c>
      <c r="AW248" s="10">
        <f t="shared" si="597"/>
        <v>20.32</v>
      </c>
      <c r="AZ248" t="str">
        <f t="shared" si="598"/>
        <v>Yes</v>
      </c>
      <c r="BB248" s="37">
        <f t="shared" si="599"/>
        <v>-0.5</v>
      </c>
      <c r="BC248" s="37">
        <f t="shared" si="590"/>
        <v>-1</v>
      </c>
      <c r="BD248" s="37">
        <f t="shared" si="600"/>
        <v>-1</v>
      </c>
      <c r="BE248" s="37">
        <f t="shared" si="601"/>
        <v>-0.5</v>
      </c>
      <c r="BF248" s="13" cm="1">
        <f t="array" ref="BF248">SUMPRODUCT((1/COUNTIFS($A$3:$A248,$A$3:$A248,$H$3:$H248,$H$3:$H248,$I$3:$I248,$I$3:$I248)))</f>
        <v>119.99999999999994</v>
      </c>
    </row>
    <row r="249" spans="1:58" x14ac:dyDescent="0.2">
      <c r="A249" s="91">
        <v>46305</v>
      </c>
      <c r="C249" s="37">
        <v>11.45</v>
      </c>
      <c r="D249" s="13" t="s">
        <v>205</v>
      </c>
      <c r="E249" s="13" t="s">
        <v>142</v>
      </c>
      <c r="H249" t="s">
        <v>141</v>
      </c>
      <c r="I249" s="13">
        <v>10</v>
      </c>
      <c r="J249" s="13">
        <v>3</v>
      </c>
      <c r="K249" t="s">
        <v>191</v>
      </c>
      <c r="L249" s="37">
        <v>0.5</v>
      </c>
      <c r="M249" s="37">
        <v>25</v>
      </c>
      <c r="N249" s="37">
        <v>25</v>
      </c>
      <c r="O249" s="37" t="s">
        <v>17</v>
      </c>
      <c r="Q249" s="13" t="s">
        <v>4</v>
      </c>
      <c r="R249" s="37">
        <v>23.080000000000002</v>
      </c>
      <c r="S249" s="13" t="s">
        <v>136</v>
      </c>
      <c r="T249" s="38" t="str">
        <f t="shared" si="534"/>
        <v>0.00</v>
      </c>
      <c r="U249" s="38">
        <f t="shared" si="591"/>
        <v>-0.5</v>
      </c>
      <c r="V249" s="38">
        <f t="shared" si="592"/>
        <v>-2.8555199999999887</v>
      </c>
      <c r="W249" s="38">
        <f t="shared" si="593"/>
        <v>117.80000000000005</v>
      </c>
      <c r="X249" s="39">
        <f t="shared" si="594"/>
        <v>-2.4240407470288518E-2</v>
      </c>
      <c r="Y249" s="40">
        <f t="shared" si="595"/>
        <v>-2.8555199999999888E-2</v>
      </c>
      <c r="Z249" s="41">
        <f t="shared" si="596"/>
        <v>-285.55199999999888</v>
      </c>
      <c r="AA249" s="13" t="s">
        <v>57</v>
      </c>
      <c r="AT249" s="37">
        <v>24.7</v>
      </c>
      <c r="AU249" s="37">
        <v>20</v>
      </c>
      <c r="AV249" s="10">
        <f t="shared" si="522"/>
        <v>12</v>
      </c>
      <c r="AW249" s="10">
        <f t="shared" si="597"/>
        <v>23.080000000000002</v>
      </c>
      <c r="AZ249" t="str">
        <f t="shared" si="598"/>
        <v>Yes</v>
      </c>
      <c r="BB249" s="37">
        <f t="shared" si="599"/>
        <v>-0.5</v>
      </c>
      <c r="BC249" s="37">
        <f t="shared" si="590"/>
        <v>-1.7</v>
      </c>
      <c r="BD249" s="37">
        <f t="shared" si="600"/>
        <v>-1.7</v>
      </c>
      <c r="BE249" s="37">
        <f t="shared" si="601"/>
        <v>-0.5</v>
      </c>
      <c r="BF249" s="13" cm="1">
        <f t="array" ref="BF249">SUMPRODUCT((1/COUNTIFS($A$3:$A249,$A$3:$A249,$H$3:$H249,$H$3:$H249,$I$3:$I249,$I$3:$I249)))</f>
        <v>120.99999999999994</v>
      </c>
    </row>
    <row r="250" spans="1:58" x14ac:dyDescent="0.2">
      <c r="A250" s="91">
        <v>46305</v>
      </c>
      <c r="C250" s="37">
        <v>11.45</v>
      </c>
      <c r="D250" s="13" t="s">
        <v>205</v>
      </c>
      <c r="E250" s="13" t="s">
        <v>142</v>
      </c>
      <c r="H250" t="s">
        <v>141</v>
      </c>
      <c r="I250" s="13">
        <v>10</v>
      </c>
      <c r="J250" s="13">
        <v>5</v>
      </c>
      <c r="K250" t="s">
        <v>472</v>
      </c>
      <c r="L250" s="37">
        <v>0.5</v>
      </c>
      <c r="M250" s="37">
        <v>27</v>
      </c>
      <c r="N250" s="37">
        <v>27.24</v>
      </c>
      <c r="O250" s="37" t="s">
        <v>17</v>
      </c>
      <c r="Q250" s="13" t="s">
        <v>4</v>
      </c>
      <c r="R250" s="37">
        <v>25.140799999999999</v>
      </c>
      <c r="S250" s="13" t="s">
        <v>136</v>
      </c>
      <c r="T250" s="38" t="str">
        <f t="shared" si="534"/>
        <v>0.00</v>
      </c>
      <c r="U250" s="38">
        <f t="shared" si="591"/>
        <v>-0.5</v>
      </c>
      <c r="V250" s="38">
        <f t="shared" si="592"/>
        <v>-3.3555199999999887</v>
      </c>
      <c r="W250" s="38">
        <f t="shared" si="593"/>
        <v>118.30000000000005</v>
      </c>
      <c r="X250" s="39">
        <f t="shared" si="594"/>
        <v>-2.8364497041420009E-2</v>
      </c>
      <c r="Y250" s="40">
        <f t="shared" si="595"/>
        <v>-3.3555199999999889E-2</v>
      </c>
      <c r="Z250" s="41">
        <f t="shared" si="596"/>
        <v>-335.55199999999888</v>
      </c>
      <c r="AA250" s="13" t="s">
        <v>57</v>
      </c>
      <c r="AT250" s="37">
        <v>29.6</v>
      </c>
      <c r="AU250" s="37">
        <v>26</v>
      </c>
      <c r="AV250" s="10">
        <f t="shared" si="522"/>
        <v>13.12</v>
      </c>
      <c r="AW250" s="10">
        <f t="shared" si="597"/>
        <v>25.140799999999999</v>
      </c>
      <c r="AZ250" t="str">
        <f t="shared" si="598"/>
        <v>Yes</v>
      </c>
      <c r="BB250" s="37">
        <f t="shared" si="599"/>
        <v>-0.5</v>
      </c>
      <c r="BC250" s="37">
        <f t="shared" si="590"/>
        <v>-1.7</v>
      </c>
      <c r="BD250" s="37">
        <f t="shared" si="600"/>
        <v>-1.7</v>
      </c>
      <c r="BE250" s="37">
        <f t="shared" si="601"/>
        <v>-0.5</v>
      </c>
      <c r="BF250" s="13" cm="1">
        <f t="array" ref="BF250">SUMPRODUCT((1/COUNTIFS($A$3:$A250,$A$3:$A250,$H$3:$H250,$H$3:$H250,$I$3:$I250,$I$3:$I250)))</f>
        <v>120.99999999999994</v>
      </c>
    </row>
    <row r="251" spans="1:58" x14ac:dyDescent="0.2">
      <c r="A251" s="91">
        <v>46305</v>
      </c>
      <c r="C251" s="37">
        <v>11.45</v>
      </c>
      <c r="D251" s="13" t="s">
        <v>205</v>
      </c>
      <c r="E251" s="13" t="s">
        <v>142</v>
      </c>
      <c r="H251" t="s">
        <v>141</v>
      </c>
      <c r="I251" s="13">
        <v>10</v>
      </c>
      <c r="J251" s="13">
        <v>8</v>
      </c>
      <c r="K251" t="s">
        <v>473</v>
      </c>
      <c r="L251" s="37">
        <v>0.5</v>
      </c>
      <c r="M251" s="37">
        <v>27</v>
      </c>
      <c r="N251" s="37">
        <v>59.89</v>
      </c>
      <c r="O251" s="37" t="s">
        <v>17</v>
      </c>
      <c r="Q251" s="13" t="s">
        <v>4</v>
      </c>
      <c r="R251" s="37">
        <v>55.178800000000003</v>
      </c>
      <c r="S251" s="13" t="s">
        <v>136</v>
      </c>
      <c r="T251" s="38" t="str">
        <f t="shared" si="534"/>
        <v>0.00</v>
      </c>
      <c r="U251" s="38">
        <f t="shared" si="591"/>
        <v>-0.5</v>
      </c>
      <c r="V251" s="38">
        <f t="shared" si="592"/>
        <v>-3.8555199999999887</v>
      </c>
      <c r="W251" s="38">
        <f t="shared" si="593"/>
        <v>118.80000000000005</v>
      </c>
      <c r="X251" s="39">
        <f t="shared" si="594"/>
        <v>-3.2453872053871943E-2</v>
      </c>
      <c r="Y251" s="40">
        <f t="shared" si="595"/>
        <v>-3.8555199999999887E-2</v>
      </c>
      <c r="Z251" s="41">
        <f t="shared" si="596"/>
        <v>-385.55199999999888</v>
      </c>
      <c r="AA251" s="13" t="s">
        <v>57</v>
      </c>
      <c r="AT251" s="37">
        <v>47.3</v>
      </c>
      <c r="AU251" s="37">
        <v>41</v>
      </c>
      <c r="AV251" s="10">
        <f t="shared" si="522"/>
        <v>29.445</v>
      </c>
      <c r="AW251" s="10">
        <f t="shared" si="597"/>
        <v>55.178800000000003</v>
      </c>
      <c r="AZ251" t="str">
        <f t="shared" si="598"/>
        <v>Yes</v>
      </c>
      <c r="BB251" s="37">
        <f t="shared" si="599"/>
        <v>-0.5</v>
      </c>
      <c r="BC251" s="37">
        <f t="shared" si="590"/>
        <v>-1.7</v>
      </c>
      <c r="BD251" s="37">
        <f t="shared" si="600"/>
        <v>-1.7</v>
      </c>
      <c r="BE251" s="37">
        <f t="shared" si="601"/>
        <v>-0.5</v>
      </c>
      <c r="BF251" s="13" cm="1">
        <f t="array" ref="BF251">SUMPRODUCT((1/COUNTIFS($A$3:$A251,$A$3:$A251,$H$3:$H251,$H$3:$H251,$I$3:$I251,$I$3:$I251)))</f>
        <v>120.99999999999993</v>
      </c>
    </row>
    <row r="252" spans="1:58" x14ac:dyDescent="0.2">
      <c r="A252" s="91">
        <v>46305</v>
      </c>
      <c r="C252" s="37">
        <v>11.45</v>
      </c>
      <c r="D252" s="13" t="s">
        <v>205</v>
      </c>
      <c r="E252" s="13" t="s">
        <v>142</v>
      </c>
      <c r="H252" t="s">
        <v>141</v>
      </c>
      <c r="I252" s="13">
        <v>10</v>
      </c>
      <c r="J252" s="13">
        <v>8</v>
      </c>
      <c r="K252" t="s">
        <v>473</v>
      </c>
      <c r="L252" s="37">
        <v>0.2</v>
      </c>
      <c r="M252" s="37">
        <v>7.8</v>
      </c>
      <c r="N252" s="37">
        <v>12.3</v>
      </c>
      <c r="O252" s="37" t="s">
        <v>17</v>
      </c>
      <c r="Q252" s="13" t="s">
        <v>89</v>
      </c>
      <c r="R252" s="37">
        <v>11.396000000000001</v>
      </c>
      <c r="S252" s="13" t="s">
        <v>136</v>
      </c>
      <c r="T252" s="38" t="str">
        <f t="shared" si="534"/>
        <v>0.00</v>
      </c>
      <c r="U252" s="38">
        <f t="shared" ref="U252" si="602">BE252</f>
        <v>-0.2</v>
      </c>
      <c r="V252" s="38">
        <f t="shared" ref="V252" si="603">V251+U252</f>
        <v>-4.0555199999999889</v>
      </c>
      <c r="W252" s="38">
        <f t="shared" ref="W252" si="604">W251+L252</f>
        <v>119.00000000000006</v>
      </c>
      <c r="X252" s="39">
        <f t="shared" ref="X252" si="605">SUM(V252/W252)</f>
        <v>-3.4079999999999888E-2</v>
      </c>
      <c r="Y252" s="40">
        <f t="shared" ref="Y252" si="606">V252/100</f>
        <v>-4.0555199999999889E-2</v>
      </c>
      <c r="Z252" s="41">
        <f t="shared" ref="Z252" si="607">V252*100</f>
        <v>-405.55199999999888</v>
      </c>
      <c r="AA252" s="13" t="s">
        <v>57</v>
      </c>
      <c r="AT252" s="37">
        <v>9.5</v>
      </c>
      <c r="AU252" s="37">
        <v>9.5</v>
      </c>
      <c r="AV252" s="10">
        <f t="shared" si="522"/>
        <v>2.2600000000000002</v>
      </c>
      <c r="AW252" s="10">
        <f t="shared" si="597"/>
        <v>11.396000000000001</v>
      </c>
      <c r="AZ252" t="str">
        <f t="shared" si="598"/>
        <v>Yes</v>
      </c>
      <c r="BB252" s="37">
        <f t="shared" si="599"/>
        <v>-0.2</v>
      </c>
      <c r="BC252" s="37">
        <f t="shared" si="590"/>
        <v>-1.7</v>
      </c>
      <c r="BD252" s="37">
        <f t="shared" si="600"/>
        <v>-1.7</v>
      </c>
      <c r="BE252" s="37">
        <f t="shared" si="601"/>
        <v>-0.2</v>
      </c>
      <c r="BF252" s="13" cm="1">
        <f t="array" ref="BF252">SUMPRODUCT((1/COUNTIFS($A$3:$A252,$A$3:$A252,$H$3:$H252,$H$3:$H252,$I$3:$I252,$I$3:$I252)))</f>
        <v>120.99999999999994</v>
      </c>
    </row>
    <row r="253" spans="1:58" x14ac:dyDescent="0.2">
      <c r="A253" s="91">
        <v>46309</v>
      </c>
      <c r="C253" s="37">
        <v>12.1</v>
      </c>
      <c r="D253" s="13" t="s">
        <v>133</v>
      </c>
      <c r="E253" s="13" t="s">
        <v>142</v>
      </c>
      <c r="H253" t="s">
        <v>141</v>
      </c>
      <c r="I253" s="13">
        <v>1</v>
      </c>
      <c r="J253" s="13">
        <v>5</v>
      </c>
      <c r="K253" t="s">
        <v>475</v>
      </c>
      <c r="L253" s="37">
        <v>0.5</v>
      </c>
      <c r="M253" s="37">
        <v>15</v>
      </c>
      <c r="N253" s="37">
        <v>25.81</v>
      </c>
      <c r="O253" s="37" t="s">
        <v>17</v>
      </c>
      <c r="Q253" s="13" t="s">
        <v>4</v>
      </c>
      <c r="R253" s="37">
        <v>23.825199999999999</v>
      </c>
      <c r="S253" s="13" t="s">
        <v>136</v>
      </c>
      <c r="T253" s="38" t="str">
        <f t="shared" si="534"/>
        <v>0.00</v>
      </c>
      <c r="U253" s="38">
        <f t="shared" ref="U253:U259" si="608">BE253</f>
        <v>-0.5</v>
      </c>
      <c r="V253" s="38">
        <f t="shared" ref="V253:V259" si="609">V252+U253</f>
        <v>-4.5555199999999889</v>
      </c>
      <c r="W253" s="38">
        <f t="shared" ref="W253:W259" si="610">W252+L253</f>
        <v>119.50000000000006</v>
      </c>
      <c r="X253" s="39">
        <f t="shared" ref="X253:X259" si="611">SUM(V253/W253)</f>
        <v>-3.8121506276150519E-2</v>
      </c>
      <c r="Y253" s="40">
        <f t="shared" ref="Y253:Y259" si="612">V253/100</f>
        <v>-4.5555199999999886E-2</v>
      </c>
      <c r="Z253" s="41">
        <f t="shared" ref="Z253:Z259" si="613">V253*100</f>
        <v>-455.55199999999888</v>
      </c>
      <c r="AA253" s="13" t="s">
        <v>57</v>
      </c>
      <c r="AT253" s="37">
        <v>21</v>
      </c>
      <c r="AU253" s="37">
        <v>21</v>
      </c>
      <c r="AV253" s="10">
        <f t="shared" si="522"/>
        <v>12.404999999999999</v>
      </c>
      <c r="AW253" s="10">
        <f t="shared" ref="AW253:AW259" si="614">0.92*(N253-1)+1</f>
        <v>23.825199999999999</v>
      </c>
      <c r="AZ253" t="str">
        <f t="shared" ref="AZ253:AZ259" si="615">IF(N253&gt;=M253,"Yes","No")</f>
        <v>Yes</v>
      </c>
      <c r="BB253" s="37">
        <f t="shared" ref="BB253:BB259" si="616">IF(AA253="W",
   L253*(N253-1),
   -L253
)</f>
        <v>-0.5</v>
      </c>
      <c r="BC253" s="37">
        <f t="shared" si="590"/>
        <v>-1</v>
      </c>
      <c r="BD253" s="37">
        <f t="shared" ref="BD253:BD259" si="617">IF(BC253&gt;0, BC253*0.92, BC253)</f>
        <v>-1</v>
      </c>
      <c r="BE253" s="37">
        <f t="shared" ref="BE253:BE259" si="618">IF(
  BC253&gt;0,
  IF(
    AA253="W",
    BB253 - (BC253 - BD253),
    BB253
  ),
  BB253
)</f>
        <v>-0.5</v>
      </c>
      <c r="BF253" s="13" cm="1">
        <f t="array" ref="BF253">SUMPRODUCT((1/COUNTIFS($A$3:$A253,$A$3:$A253,$H$3:$H253,$H$3:$H253,$I$3:$I253,$I$3:$I253)))</f>
        <v>121.99999999999994</v>
      </c>
    </row>
    <row r="254" spans="1:58" x14ac:dyDescent="0.2">
      <c r="A254" s="91">
        <v>46309</v>
      </c>
      <c r="C254" s="37">
        <v>12.1</v>
      </c>
      <c r="D254" s="13" t="s">
        <v>133</v>
      </c>
      <c r="E254" s="13" t="s">
        <v>142</v>
      </c>
      <c r="H254" t="s">
        <v>141</v>
      </c>
      <c r="I254" s="13">
        <v>1</v>
      </c>
      <c r="J254" s="13">
        <v>7</v>
      </c>
      <c r="K254" s="98" t="s">
        <v>476</v>
      </c>
      <c r="L254" s="37">
        <v>0.5</v>
      </c>
      <c r="M254" s="37">
        <v>23</v>
      </c>
      <c r="N254" s="37">
        <v>23</v>
      </c>
      <c r="O254" s="37" t="s">
        <v>17</v>
      </c>
      <c r="Q254" s="13" t="s">
        <v>4</v>
      </c>
      <c r="R254" s="37">
        <v>21.240000000000002</v>
      </c>
      <c r="S254" s="13">
        <v>4</v>
      </c>
      <c r="T254" s="38" t="str">
        <f t="shared" si="534"/>
        <v>0.00</v>
      </c>
      <c r="U254" s="38">
        <f t="shared" si="608"/>
        <v>-0.5</v>
      </c>
      <c r="V254" s="38">
        <f t="shared" si="609"/>
        <v>-5.0555199999999889</v>
      </c>
      <c r="W254" s="38">
        <f t="shared" si="610"/>
        <v>120.00000000000006</v>
      </c>
      <c r="X254" s="39">
        <f t="shared" si="611"/>
        <v>-4.212933333333322E-2</v>
      </c>
      <c r="Y254" s="40">
        <f t="shared" si="612"/>
        <v>-5.0555199999999891E-2</v>
      </c>
      <c r="Z254" s="41">
        <f t="shared" si="613"/>
        <v>-505.55199999999888</v>
      </c>
      <c r="AA254" s="13" t="s">
        <v>57</v>
      </c>
      <c r="AT254" s="37">
        <v>20.8</v>
      </c>
      <c r="AU254" s="37">
        <v>18</v>
      </c>
      <c r="AV254" s="10">
        <f t="shared" si="522"/>
        <v>11</v>
      </c>
      <c r="AW254" s="10">
        <f t="shared" si="614"/>
        <v>21.240000000000002</v>
      </c>
      <c r="AZ254" t="str">
        <f t="shared" si="615"/>
        <v>Yes</v>
      </c>
      <c r="BB254" s="37">
        <f t="shared" si="616"/>
        <v>-0.5</v>
      </c>
      <c r="BC254" s="37">
        <f t="shared" si="590"/>
        <v>-1</v>
      </c>
      <c r="BD254" s="37">
        <f t="shared" si="617"/>
        <v>-1</v>
      </c>
      <c r="BE254" s="37">
        <f t="shared" si="618"/>
        <v>-0.5</v>
      </c>
      <c r="BF254" s="13" cm="1">
        <f t="array" ref="BF254">SUMPRODUCT((1/COUNTIFS($A$3:$A254,$A$3:$A254,$H$3:$H254,$H$3:$H254,$I$3:$I254,$I$3:$I254)))</f>
        <v>121.99999999999994</v>
      </c>
    </row>
    <row r="255" spans="1:58" x14ac:dyDescent="0.2">
      <c r="A255" s="91">
        <v>46309</v>
      </c>
      <c r="C255" s="37">
        <v>12.1</v>
      </c>
      <c r="D255" s="13" t="s">
        <v>133</v>
      </c>
      <c r="E255" s="13" t="s">
        <v>142</v>
      </c>
      <c r="H255" t="s">
        <v>141</v>
      </c>
      <c r="I255" s="13">
        <v>3</v>
      </c>
      <c r="J255" s="13">
        <v>6</v>
      </c>
      <c r="K255" s="101" t="s">
        <v>479</v>
      </c>
      <c r="L255" s="37">
        <v>0.5</v>
      </c>
      <c r="M255" s="37">
        <v>10.5</v>
      </c>
      <c r="N255" s="37">
        <v>11.5</v>
      </c>
      <c r="O255" s="37" t="s">
        <v>17</v>
      </c>
      <c r="Q255" s="13" t="s">
        <v>4</v>
      </c>
      <c r="R255" s="37">
        <v>10.66</v>
      </c>
      <c r="S255" s="13">
        <v>1</v>
      </c>
      <c r="T255" s="38">
        <f t="shared" si="534"/>
        <v>5.33</v>
      </c>
      <c r="U255" s="38">
        <f t="shared" si="608"/>
        <v>4.83</v>
      </c>
      <c r="V255" s="38">
        <f t="shared" si="609"/>
        <v>-0.22551999999998884</v>
      </c>
      <c r="W255" s="38">
        <f t="shared" si="610"/>
        <v>120.50000000000006</v>
      </c>
      <c r="X255" s="39">
        <f t="shared" si="611"/>
        <v>-1.87153526970945E-3</v>
      </c>
      <c r="Y255" s="40">
        <f t="shared" si="612"/>
        <v>-2.2551999999998883E-3</v>
      </c>
      <c r="Z255" s="41">
        <f t="shared" si="613"/>
        <v>-22.551999999998884</v>
      </c>
      <c r="AA255" s="13" t="s">
        <v>206</v>
      </c>
      <c r="AT255" s="37">
        <v>9.6</v>
      </c>
      <c r="AU255" s="37">
        <v>8</v>
      </c>
      <c r="AV255" s="10">
        <f t="shared" si="522"/>
        <v>5.25</v>
      </c>
      <c r="AW255" s="10">
        <f t="shared" si="614"/>
        <v>10.66</v>
      </c>
      <c r="AZ255" t="str">
        <f t="shared" si="615"/>
        <v>Yes</v>
      </c>
      <c r="BB255" s="37">
        <f t="shared" si="616"/>
        <v>5.25</v>
      </c>
      <c r="BC255" s="37">
        <f t="shared" si="590"/>
        <v>5.25</v>
      </c>
      <c r="BD255" s="37">
        <f t="shared" si="617"/>
        <v>4.83</v>
      </c>
      <c r="BE255" s="37">
        <f t="shared" si="618"/>
        <v>4.83</v>
      </c>
      <c r="BF255" s="13" cm="1">
        <f t="array" ref="BF255">SUMPRODUCT((1/COUNTIFS($A$3:$A255,$A$3:$A255,$H$3:$H255,$H$3:$H255,$I$3:$I255,$I$3:$I255)))</f>
        <v>122.99999999999994</v>
      </c>
    </row>
    <row r="256" spans="1:58" x14ac:dyDescent="0.2">
      <c r="A256" s="91">
        <v>46309</v>
      </c>
      <c r="C256" s="37">
        <v>12.1</v>
      </c>
      <c r="D256" s="13" t="s">
        <v>133</v>
      </c>
      <c r="E256" s="13" t="s">
        <v>134</v>
      </c>
      <c r="H256" t="s">
        <v>139</v>
      </c>
      <c r="I256" s="13">
        <v>7</v>
      </c>
      <c r="J256" s="13">
        <v>10</v>
      </c>
      <c r="K256" s="101" t="s">
        <v>481</v>
      </c>
      <c r="L256" s="37">
        <v>0.5</v>
      </c>
      <c r="M256" s="37">
        <v>27</v>
      </c>
      <c r="N256" s="37">
        <v>37.4</v>
      </c>
      <c r="O256" s="37" t="s">
        <v>17</v>
      </c>
      <c r="Q256" s="13" t="s">
        <v>4</v>
      </c>
      <c r="R256" s="37">
        <v>34.488</v>
      </c>
      <c r="S256" s="13">
        <v>1</v>
      </c>
      <c r="T256" s="38">
        <f t="shared" si="534"/>
        <v>17.239999999999998</v>
      </c>
      <c r="U256" s="38">
        <f t="shared" si="608"/>
        <v>16.744</v>
      </c>
      <c r="V256" s="38">
        <f t="shared" si="609"/>
        <v>16.518480000000011</v>
      </c>
      <c r="W256" s="38">
        <f t="shared" si="610"/>
        <v>121.00000000000006</v>
      </c>
      <c r="X256" s="39">
        <f t="shared" si="611"/>
        <v>0.13651636363636366</v>
      </c>
      <c r="Y256" s="40">
        <f t="shared" si="612"/>
        <v>0.1651848000000001</v>
      </c>
      <c r="Z256" s="41">
        <f t="shared" si="613"/>
        <v>1651.8480000000011</v>
      </c>
      <c r="AA256" s="13" t="s">
        <v>206</v>
      </c>
      <c r="AT256" s="37">
        <v>22.4</v>
      </c>
      <c r="AU256" s="37">
        <v>26</v>
      </c>
      <c r="AV256" s="10">
        <f t="shared" si="522"/>
        <v>18.2</v>
      </c>
      <c r="AW256" s="10">
        <f t="shared" si="614"/>
        <v>34.488</v>
      </c>
      <c r="AZ256" t="str">
        <f t="shared" si="615"/>
        <v>Yes</v>
      </c>
      <c r="BB256" s="37">
        <f t="shared" si="616"/>
        <v>18.2</v>
      </c>
      <c r="BC256" s="37">
        <f t="shared" si="590"/>
        <v>18.2</v>
      </c>
      <c r="BD256" s="37">
        <f t="shared" si="617"/>
        <v>16.744</v>
      </c>
      <c r="BE256" s="37">
        <f t="shared" si="618"/>
        <v>16.744</v>
      </c>
      <c r="BF256" s="13" cm="1">
        <f t="array" ref="BF256">SUMPRODUCT((1/COUNTIFS($A$3:$A256,$A$3:$A256,$H$3:$H256,$H$3:$H256,$I$3:$I256,$I$3:$I256)))</f>
        <v>123.99999999999994</v>
      </c>
    </row>
    <row r="257" spans="1:58" x14ac:dyDescent="0.2">
      <c r="A257" s="91">
        <v>46309</v>
      </c>
      <c r="C257" s="37">
        <v>12.1</v>
      </c>
      <c r="D257" s="13" t="s">
        <v>133</v>
      </c>
      <c r="E257" s="13" t="s">
        <v>142</v>
      </c>
      <c r="H257" t="s">
        <v>141</v>
      </c>
      <c r="I257" s="13">
        <v>5</v>
      </c>
      <c r="J257" s="13">
        <v>4</v>
      </c>
      <c r="K257" s="98" t="s">
        <v>482</v>
      </c>
      <c r="L257" s="37">
        <v>0.5</v>
      </c>
      <c r="M257" s="37">
        <v>8.8000000000000007</v>
      </c>
      <c r="N257" s="37">
        <v>12.23</v>
      </c>
      <c r="O257" s="37" t="s">
        <v>17</v>
      </c>
      <c r="Q257" s="13" t="s">
        <v>4</v>
      </c>
      <c r="R257" s="37">
        <v>11.331600000000002</v>
      </c>
      <c r="S257" s="13">
        <v>4</v>
      </c>
      <c r="T257" s="38" t="str">
        <f t="shared" si="534"/>
        <v>0.00</v>
      </c>
      <c r="U257" s="38">
        <f t="shared" si="608"/>
        <v>-0.5</v>
      </c>
      <c r="V257" s="38">
        <f t="shared" si="609"/>
        <v>16.018480000000011</v>
      </c>
      <c r="W257" s="38">
        <f t="shared" si="610"/>
        <v>121.50000000000006</v>
      </c>
      <c r="X257" s="39">
        <f t="shared" si="611"/>
        <v>0.13183934156378604</v>
      </c>
      <c r="Y257" s="40">
        <f t="shared" si="612"/>
        <v>0.1601848000000001</v>
      </c>
      <c r="Z257" s="41">
        <f t="shared" si="613"/>
        <v>1601.8480000000011</v>
      </c>
      <c r="AA257" s="13" t="s">
        <v>57</v>
      </c>
      <c r="AT257" s="37">
        <v>11.4</v>
      </c>
      <c r="AU257" s="37">
        <v>11</v>
      </c>
      <c r="AV257" s="10">
        <f t="shared" si="522"/>
        <v>5.6150000000000002</v>
      </c>
      <c r="AW257" s="10">
        <f t="shared" si="614"/>
        <v>11.331600000000002</v>
      </c>
      <c r="AZ257" t="str">
        <f t="shared" si="615"/>
        <v>Yes</v>
      </c>
      <c r="BB257" s="37">
        <f t="shared" si="616"/>
        <v>-0.5</v>
      </c>
      <c r="BC257" s="37">
        <f t="shared" si="590"/>
        <v>-1</v>
      </c>
      <c r="BD257" s="37">
        <f t="shared" si="617"/>
        <v>-1</v>
      </c>
      <c r="BE257" s="37">
        <f t="shared" si="618"/>
        <v>-0.5</v>
      </c>
      <c r="BF257" s="13" cm="1">
        <f t="array" ref="BF257">SUMPRODUCT((1/COUNTIFS($A$3:$A257,$A$3:$A257,$H$3:$H257,$H$3:$H257,$I$3:$I257,$I$3:$I257)))</f>
        <v>124.99999999999994</v>
      </c>
    </row>
    <row r="258" spans="1:58" x14ac:dyDescent="0.2">
      <c r="A258" s="91">
        <v>46309</v>
      </c>
      <c r="C258" s="37">
        <v>12.1</v>
      </c>
      <c r="D258" s="13" t="s">
        <v>133</v>
      </c>
      <c r="E258" s="13" t="s">
        <v>142</v>
      </c>
      <c r="H258" t="s">
        <v>141</v>
      </c>
      <c r="I258" s="13">
        <v>5</v>
      </c>
      <c r="J258" s="13">
        <v>8</v>
      </c>
      <c r="K258" t="s">
        <v>483</v>
      </c>
      <c r="L258" s="37">
        <v>0.5</v>
      </c>
      <c r="M258" s="37">
        <v>19</v>
      </c>
      <c r="N258" s="37">
        <v>19</v>
      </c>
      <c r="O258" s="37" t="s">
        <v>17</v>
      </c>
      <c r="Q258" s="13" t="s">
        <v>4</v>
      </c>
      <c r="R258" s="37">
        <v>17.560000000000002</v>
      </c>
      <c r="S258" s="13" t="s">
        <v>136</v>
      </c>
      <c r="T258" s="38" t="str">
        <f t="shared" si="534"/>
        <v>0.00</v>
      </c>
      <c r="U258" s="38">
        <f t="shared" si="608"/>
        <v>-0.5</v>
      </c>
      <c r="V258" s="38">
        <f t="shared" si="609"/>
        <v>15.518480000000011</v>
      </c>
      <c r="W258" s="38">
        <f t="shared" si="610"/>
        <v>122.00000000000006</v>
      </c>
      <c r="X258" s="39">
        <f t="shared" si="611"/>
        <v>0.12720065573770495</v>
      </c>
      <c r="Y258" s="40">
        <f t="shared" si="612"/>
        <v>0.15518480000000012</v>
      </c>
      <c r="Z258" s="41">
        <f t="shared" si="613"/>
        <v>1551.8480000000011</v>
      </c>
      <c r="AA258" s="13" t="s">
        <v>57</v>
      </c>
      <c r="AT258" s="37">
        <v>15</v>
      </c>
      <c r="AU258" s="37">
        <v>14</v>
      </c>
      <c r="AV258" s="10">
        <f t="shared" si="522"/>
        <v>9</v>
      </c>
      <c r="AW258" s="10">
        <f t="shared" si="614"/>
        <v>17.560000000000002</v>
      </c>
      <c r="AZ258" t="str">
        <f t="shared" si="615"/>
        <v>Yes</v>
      </c>
      <c r="BB258" s="37">
        <f t="shared" si="616"/>
        <v>-0.5</v>
      </c>
      <c r="BC258" s="37">
        <f t="shared" si="590"/>
        <v>-1</v>
      </c>
      <c r="BD258" s="37">
        <f t="shared" si="617"/>
        <v>-1</v>
      </c>
      <c r="BE258" s="37">
        <f t="shared" si="618"/>
        <v>-0.5</v>
      </c>
      <c r="BF258" s="13" cm="1">
        <f t="array" ref="BF258">SUMPRODUCT((1/COUNTIFS($A$3:$A258,$A$3:$A258,$H$3:$H258,$H$3:$H258,$I$3:$I258,$I$3:$I258)))</f>
        <v>124.99999999999994</v>
      </c>
    </row>
    <row r="259" spans="1:58" x14ac:dyDescent="0.2">
      <c r="A259" s="91">
        <v>46309</v>
      </c>
      <c r="C259" s="37">
        <v>12.1</v>
      </c>
      <c r="D259" s="13" t="s">
        <v>133</v>
      </c>
      <c r="E259" s="13" t="s">
        <v>142</v>
      </c>
      <c r="H259" t="s">
        <v>141</v>
      </c>
      <c r="I259" s="13">
        <v>6</v>
      </c>
      <c r="J259" s="13">
        <v>3</v>
      </c>
      <c r="K259" s="101" t="s">
        <v>485</v>
      </c>
      <c r="L259" s="37">
        <v>0.5</v>
      </c>
      <c r="M259" s="37">
        <v>12.5</v>
      </c>
      <c r="N259" s="37">
        <v>13.2</v>
      </c>
      <c r="O259" s="37" t="s">
        <v>17</v>
      </c>
      <c r="Q259" s="13" t="s">
        <v>4</v>
      </c>
      <c r="R259" s="37">
        <v>12.224</v>
      </c>
      <c r="S259" s="13">
        <v>1</v>
      </c>
      <c r="T259" s="38">
        <f t="shared" si="534"/>
        <v>6.11</v>
      </c>
      <c r="U259" s="38">
        <f t="shared" si="608"/>
        <v>5.6120000000000001</v>
      </c>
      <c r="V259" s="38">
        <f t="shared" si="609"/>
        <v>21.130480000000013</v>
      </c>
      <c r="W259" s="38">
        <f t="shared" si="610"/>
        <v>122.50000000000006</v>
      </c>
      <c r="X259" s="39">
        <f t="shared" si="611"/>
        <v>0.17249371428571431</v>
      </c>
      <c r="Y259" s="40">
        <f t="shared" si="612"/>
        <v>0.21130480000000013</v>
      </c>
      <c r="Z259" s="41">
        <f t="shared" si="613"/>
        <v>2113.0480000000011</v>
      </c>
      <c r="AA259" s="13" t="s">
        <v>206</v>
      </c>
      <c r="AT259" s="37">
        <v>11</v>
      </c>
      <c r="AU259" s="37">
        <v>11</v>
      </c>
      <c r="AV259" s="10">
        <f t="shared" si="522"/>
        <v>6.1</v>
      </c>
      <c r="AW259" s="10">
        <f t="shared" si="614"/>
        <v>12.224</v>
      </c>
      <c r="AZ259" t="str">
        <f t="shared" si="615"/>
        <v>Yes</v>
      </c>
      <c r="BB259" s="37">
        <f t="shared" si="616"/>
        <v>6.1</v>
      </c>
      <c r="BC259" s="37">
        <f t="shared" si="590"/>
        <v>6.1</v>
      </c>
      <c r="BD259" s="37">
        <f t="shared" si="617"/>
        <v>5.6120000000000001</v>
      </c>
      <c r="BE259" s="37">
        <f t="shared" si="618"/>
        <v>5.6120000000000001</v>
      </c>
      <c r="BF259" s="13" cm="1">
        <f t="array" ref="BF259">SUMPRODUCT((1/COUNTIFS($A$3:$A259,$A$3:$A259,$H$3:$H259,$H$3:$H259,$I$3:$I259,$I$3:$I259)))</f>
        <v>125.99999999999994</v>
      </c>
    </row>
    <row r="260" spans="1:58" x14ac:dyDescent="0.2">
      <c r="A260" s="91">
        <v>46312</v>
      </c>
      <c r="C260" s="37">
        <v>11.19</v>
      </c>
      <c r="D260" s="13" t="s">
        <v>205</v>
      </c>
      <c r="E260" s="13" t="s">
        <v>134</v>
      </c>
      <c r="H260" t="s">
        <v>138</v>
      </c>
      <c r="I260" s="13">
        <v>1</v>
      </c>
      <c r="J260" s="13">
        <v>9</v>
      </c>
      <c r="K260" t="s">
        <v>488</v>
      </c>
      <c r="L260" s="37">
        <v>0.5</v>
      </c>
      <c r="M260" s="37">
        <v>17</v>
      </c>
      <c r="N260" s="37">
        <v>24.51</v>
      </c>
      <c r="O260" s="37" t="s">
        <v>17</v>
      </c>
      <c r="Q260" s="13" t="s">
        <v>4</v>
      </c>
      <c r="R260" s="37">
        <v>22.629200000000001</v>
      </c>
      <c r="S260" s="13" t="s">
        <v>136</v>
      </c>
      <c r="T260" s="38" t="str">
        <f t="shared" si="534"/>
        <v>0.00</v>
      </c>
      <c r="U260" s="38">
        <f t="shared" ref="U260" si="619">BE260</f>
        <v>-0.5</v>
      </c>
      <c r="V260" s="38">
        <f t="shared" ref="V260" si="620">V259+U260</f>
        <v>20.630480000000013</v>
      </c>
      <c r="W260" s="38">
        <f t="shared" ref="W260" si="621">W259+L260</f>
        <v>123.00000000000006</v>
      </c>
      <c r="X260" s="39">
        <f t="shared" ref="X260" si="622">SUM(V260/W260)</f>
        <v>0.16772747967479679</v>
      </c>
      <c r="Y260" s="40">
        <f t="shared" ref="Y260" si="623">V260/100</f>
        <v>0.20630480000000012</v>
      </c>
      <c r="Z260" s="41">
        <f t="shared" ref="Z260" si="624">V260*100</f>
        <v>2063.0480000000011</v>
      </c>
      <c r="AA260" s="13" t="s">
        <v>57</v>
      </c>
      <c r="AT260" s="37">
        <v>20</v>
      </c>
      <c r="AU260" s="37">
        <v>20</v>
      </c>
      <c r="AV260" s="10">
        <f t="shared" si="522"/>
        <v>11.755000000000001</v>
      </c>
      <c r="AW260" s="10">
        <f t="shared" ref="AW260" si="625">0.92*(N260-1)+1</f>
        <v>22.629200000000001</v>
      </c>
      <c r="AZ260" t="str">
        <f t="shared" ref="AZ260" si="626">IF(N260&gt;=M260,"Yes","No")</f>
        <v>Yes</v>
      </c>
      <c r="BB260" s="37">
        <f t="shared" ref="BB260" si="627">IF(AA260="W",
   L260*(N260-1),
   -L260
)</f>
        <v>-0.5</v>
      </c>
      <c r="BC260" s="37">
        <f t="shared" si="590"/>
        <v>-0.5</v>
      </c>
      <c r="BD260" s="37">
        <f t="shared" ref="BD260" si="628">IF(BC260&gt;0, BC260*0.92, BC260)</f>
        <v>-0.5</v>
      </c>
      <c r="BE260" s="37">
        <f t="shared" ref="BE260" si="629">IF(
  BC260&gt;0,
  IF(
    AA260="W",
    BB260 - (BC260 - BD260),
    BB260
  ),
  BB260
)</f>
        <v>-0.5</v>
      </c>
      <c r="BF260" s="13" cm="1">
        <f t="array" ref="BF260">SUMPRODUCT((1/COUNTIFS($A$3:$A260,$A$3:$A260,$H$3:$H260,$H$3:$H260,$I$3:$I260,$I$3:$I260)))</f>
        <v>126.99999999999994</v>
      </c>
    </row>
    <row r="261" spans="1:58" x14ac:dyDescent="0.2">
      <c r="A261" s="91">
        <v>46312</v>
      </c>
      <c r="C261" s="37">
        <v>11.19</v>
      </c>
      <c r="D261" s="13" t="s">
        <v>205</v>
      </c>
      <c r="E261" s="13" t="s">
        <v>142</v>
      </c>
      <c r="H261" t="s">
        <v>140</v>
      </c>
      <c r="I261" s="13">
        <v>2</v>
      </c>
      <c r="J261" s="13">
        <v>4</v>
      </c>
      <c r="K261" t="s">
        <v>467</v>
      </c>
      <c r="L261" s="37">
        <v>0.5</v>
      </c>
      <c r="M261" s="37">
        <v>9.4</v>
      </c>
      <c r="N261" s="37">
        <v>12.17</v>
      </c>
      <c r="O261" s="37" t="s">
        <v>17</v>
      </c>
      <c r="Q261" s="13" t="s">
        <v>4</v>
      </c>
      <c r="R261" s="37">
        <v>11.276400000000001</v>
      </c>
      <c r="S261" s="13" t="s">
        <v>136</v>
      </c>
      <c r="T261" s="38" t="str">
        <f t="shared" si="534"/>
        <v>0.00</v>
      </c>
      <c r="U261" s="38">
        <f t="shared" ref="U261" si="630">BE261</f>
        <v>-0.5</v>
      </c>
      <c r="V261" s="38">
        <f t="shared" ref="V261" si="631">V260+U261</f>
        <v>20.130480000000013</v>
      </c>
      <c r="W261" s="38">
        <f t="shared" ref="W261" si="632">W260+L261</f>
        <v>123.50000000000006</v>
      </c>
      <c r="X261" s="39">
        <f t="shared" ref="X261" si="633">SUM(V261/W261)</f>
        <v>0.1629998380566802</v>
      </c>
      <c r="Y261" s="40">
        <f t="shared" ref="Y261" si="634">V261/100</f>
        <v>0.20130480000000012</v>
      </c>
      <c r="Z261" s="41">
        <f t="shared" ref="Z261" si="635">V261*100</f>
        <v>2013.0480000000014</v>
      </c>
      <c r="AA261" s="13" t="s">
        <v>57</v>
      </c>
      <c r="AT261" s="37">
        <v>9.1999999999999993</v>
      </c>
      <c r="AU261" s="37">
        <v>9</v>
      </c>
      <c r="AV261" s="10">
        <f t="shared" ref="AV261:AV289" si="636">((N261*(L261))-(L261))</f>
        <v>5.585</v>
      </c>
      <c r="AW261" s="10">
        <f t="shared" ref="AW261" si="637">0.92*(N261-1)+1</f>
        <v>11.276400000000001</v>
      </c>
      <c r="AZ261" t="str">
        <f t="shared" ref="AZ261" si="638">IF(N261&gt;=M261,"Yes","No")</f>
        <v>Yes</v>
      </c>
      <c r="BB261" s="37">
        <f t="shared" ref="BB261" si="639">IF(AA261="W",
   L261*(N261-1),
   -L261
)</f>
        <v>-0.5</v>
      </c>
      <c r="BC261" s="37">
        <f t="shared" si="590"/>
        <v>-0.5</v>
      </c>
      <c r="BD261" s="37">
        <f t="shared" ref="BD261" si="640">IF(BC261&gt;0, BC261*0.92, BC261)</f>
        <v>-0.5</v>
      </c>
      <c r="BE261" s="37">
        <f t="shared" ref="BE261" si="641">IF(
  BC261&gt;0,
  IF(
    AA261="W",
    BB261 - (BC261 - BD261),
    BB261
  ),
  BB261
)</f>
        <v>-0.5</v>
      </c>
      <c r="BF261" s="13" cm="1">
        <f t="array" ref="BF261">SUMPRODUCT((1/COUNTIFS($A$3:$A261,$A$3:$A261,$H$3:$H261,$H$3:$H261,$I$3:$I261,$I$3:$I261)))</f>
        <v>127.99999999999994</v>
      </c>
    </row>
    <row r="262" spans="1:58" x14ac:dyDescent="0.2">
      <c r="A262" s="91">
        <v>46312</v>
      </c>
      <c r="C262" s="37">
        <v>11.19</v>
      </c>
      <c r="D262" s="13" t="s">
        <v>205</v>
      </c>
      <c r="E262" s="13" t="s">
        <v>134</v>
      </c>
      <c r="H262" t="s">
        <v>138</v>
      </c>
      <c r="I262" s="13">
        <v>3</v>
      </c>
      <c r="J262" s="13">
        <v>12</v>
      </c>
      <c r="K262" s="92" t="s">
        <v>352</v>
      </c>
      <c r="L262" s="37">
        <v>0.5</v>
      </c>
      <c r="M262" s="37">
        <v>15.5</v>
      </c>
      <c r="N262" s="37">
        <v>16.850000000000001</v>
      </c>
      <c r="O262" s="37" t="s">
        <v>17</v>
      </c>
      <c r="Q262" s="13" t="s">
        <v>4</v>
      </c>
      <c r="R262" s="37">
        <v>15.582000000000003</v>
      </c>
      <c r="S262" s="13">
        <v>3</v>
      </c>
      <c r="T262" s="38" t="str">
        <f t="shared" si="534"/>
        <v>0.00</v>
      </c>
      <c r="U262" s="38">
        <f t="shared" ref="U262" si="642">BE262</f>
        <v>-0.5</v>
      </c>
      <c r="V262" s="38">
        <f t="shared" ref="V262" si="643">V261+U262</f>
        <v>19.630480000000013</v>
      </c>
      <c r="W262" s="38">
        <f t="shared" ref="W262" si="644">W261+L262</f>
        <v>124.00000000000006</v>
      </c>
      <c r="X262" s="39">
        <f t="shared" ref="X262" si="645">SUM(V262/W262)</f>
        <v>0.1583103225806452</v>
      </c>
      <c r="Y262" s="40">
        <f t="shared" ref="Y262" si="646">V262/100</f>
        <v>0.19630480000000014</v>
      </c>
      <c r="Z262" s="41">
        <f t="shared" ref="Z262" si="647">V262*100</f>
        <v>1963.0480000000014</v>
      </c>
      <c r="AA262" s="13" t="s">
        <v>57</v>
      </c>
      <c r="AT262" s="37">
        <v>16.100000000000001</v>
      </c>
      <c r="AU262" s="37">
        <v>16</v>
      </c>
      <c r="AV262" s="10">
        <f t="shared" si="636"/>
        <v>7.9250000000000007</v>
      </c>
      <c r="AW262" s="10">
        <f t="shared" ref="AW262" si="648">0.92*(N262-1)+1</f>
        <v>15.582000000000003</v>
      </c>
      <c r="AZ262" t="str">
        <f t="shared" ref="AZ262" si="649">IF(N262&gt;=M262,"Yes","No")</f>
        <v>Yes</v>
      </c>
      <c r="BB262" s="37">
        <f t="shared" ref="BB262" si="650">IF(AA262="W",
   L262*(N262-1),
   -L262
)</f>
        <v>-0.5</v>
      </c>
      <c r="BC262" s="37">
        <f t="shared" si="590"/>
        <v>-0.5</v>
      </c>
      <c r="BD262" s="37">
        <f t="shared" ref="BD262" si="651">IF(BC262&gt;0, BC262*0.92, BC262)</f>
        <v>-0.5</v>
      </c>
      <c r="BE262" s="37">
        <f t="shared" ref="BE262" si="652">IF(
  BC262&gt;0,
  IF(
    AA262="W",
    BB262 - (BC262 - BD262),
    BB262
  ),
  BB262
)</f>
        <v>-0.5</v>
      </c>
      <c r="BF262" s="13" cm="1">
        <f t="array" ref="BF262">SUMPRODUCT((1/COUNTIFS($A$3:$A262,$A$3:$A262,$H$3:$H262,$H$3:$H262,$I$3:$I262,$I$3:$I262)))</f>
        <v>128.99999999999994</v>
      </c>
    </row>
    <row r="263" spans="1:58" x14ac:dyDescent="0.2">
      <c r="A263" s="91">
        <v>46312</v>
      </c>
      <c r="C263" s="37">
        <v>11.19</v>
      </c>
      <c r="D263" s="13" t="s">
        <v>205</v>
      </c>
      <c r="E263" s="13" t="s">
        <v>142</v>
      </c>
      <c r="H263" t="s">
        <v>140</v>
      </c>
      <c r="I263" s="13">
        <v>3</v>
      </c>
      <c r="J263" s="13">
        <v>1</v>
      </c>
      <c r="K263" t="s">
        <v>397</v>
      </c>
      <c r="L263" s="37">
        <v>0.5</v>
      </c>
      <c r="M263" s="37">
        <v>15.5</v>
      </c>
      <c r="N263" s="37">
        <v>26</v>
      </c>
      <c r="O263" s="37" t="s">
        <v>17</v>
      </c>
      <c r="Q263" s="13" t="s">
        <v>4</v>
      </c>
      <c r="R263" s="37">
        <v>24</v>
      </c>
      <c r="S263" s="13" t="s">
        <v>136</v>
      </c>
      <c r="T263" s="38" t="str">
        <f t="shared" si="534"/>
        <v>0.00</v>
      </c>
      <c r="U263" s="38">
        <f t="shared" ref="U263:U265" si="653">BE263</f>
        <v>-0.5</v>
      </c>
      <c r="V263" s="38">
        <f t="shared" ref="V263:V265" si="654">V262+U263</f>
        <v>19.130480000000013</v>
      </c>
      <c r="W263" s="38">
        <f t="shared" ref="W263:W265" si="655">W262+L263</f>
        <v>124.50000000000006</v>
      </c>
      <c r="X263" s="39">
        <f t="shared" ref="X263:X265" si="656">SUM(V263/W263)</f>
        <v>0.15365847389558238</v>
      </c>
      <c r="Y263" s="40">
        <f t="shared" ref="Y263:Y265" si="657">V263/100</f>
        <v>0.19130480000000014</v>
      </c>
      <c r="Z263" s="41">
        <f t="shared" ref="Z263:Z265" si="658">V263*100</f>
        <v>1913.0480000000014</v>
      </c>
      <c r="AA263" s="13" t="s">
        <v>57</v>
      </c>
      <c r="AT263" s="37">
        <v>16.8</v>
      </c>
      <c r="AU263" s="37">
        <v>16</v>
      </c>
      <c r="AV263" s="10">
        <f t="shared" si="636"/>
        <v>12.5</v>
      </c>
      <c r="AW263" s="10">
        <f t="shared" ref="AW263:AW265" si="659">0.92*(N263-1)+1</f>
        <v>24</v>
      </c>
      <c r="AZ263" t="str">
        <f t="shared" ref="AZ263:AZ265" si="660">IF(N263&gt;=M263,"Yes","No")</f>
        <v>Yes</v>
      </c>
      <c r="BB263" s="37">
        <f t="shared" ref="BB263:BB265" si="661">IF(AA263="W",
   L263*(N263-1),
   -L263
)</f>
        <v>-0.5</v>
      </c>
      <c r="BC263" s="37">
        <f t="shared" si="590"/>
        <v>-1.5</v>
      </c>
      <c r="BD263" s="37">
        <f t="shared" ref="BD263:BD265" si="662">IF(BC263&gt;0, BC263*0.92, BC263)</f>
        <v>-1.5</v>
      </c>
      <c r="BE263" s="37">
        <f t="shared" ref="BE263:BE265" si="663">IF(
  BC263&gt;0,
  IF(
    AA263="W",
    BB263 - (BC263 - BD263),
    BB263
  ),
  BB263
)</f>
        <v>-0.5</v>
      </c>
      <c r="BF263" s="13" cm="1">
        <f t="array" ref="BF263">SUMPRODUCT((1/COUNTIFS($A$3:$A263,$A$3:$A263,$H$3:$H263,$H$3:$H263,$I$3:$I263,$I$3:$I263)))</f>
        <v>129.99999999999994</v>
      </c>
    </row>
    <row r="264" spans="1:58" x14ac:dyDescent="0.2">
      <c r="A264" s="91">
        <v>46312</v>
      </c>
      <c r="C264" s="37">
        <v>11.19</v>
      </c>
      <c r="D264" s="13" t="s">
        <v>205</v>
      </c>
      <c r="E264" s="13" t="s">
        <v>142</v>
      </c>
      <c r="H264" t="s">
        <v>140</v>
      </c>
      <c r="I264" s="13">
        <v>3</v>
      </c>
      <c r="J264" s="13">
        <v>8</v>
      </c>
      <c r="K264" t="s">
        <v>490</v>
      </c>
      <c r="L264" s="37">
        <v>0.5</v>
      </c>
      <c r="M264" s="37">
        <v>17.5</v>
      </c>
      <c r="N264" s="37">
        <v>30</v>
      </c>
      <c r="O264" s="37" t="s">
        <v>17</v>
      </c>
      <c r="Q264" s="13" t="s">
        <v>4</v>
      </c>
      <c r="R264" s="37">
        <v>27.68</v>
      </c>
      <c r="S264" s="13" t="s">
        <v>136</v>
      </c>
      <c r="T264" s="38" t="str">
        <f t="shared" si="534"/>
        <v>0.00</v>
      </c>
      <c r="U264" s="38">
        <f t="shared" si="653"/>
        <v>-0.5</v>
      </c>
      <c r="V264" s="38">
        <f t="shared" si="654"/>
        <v>18.630480000000013</v>
      </c>
      <c r="W264" s="38">
        <f t="shared" si="655"/>
        <v>125.00000000000006</v>
      </c>
      <c r="X264" s="39">
        <f t="shared" si="656"/>
        <v>0.14904384000000004</v>
      </c>
      <c r="Y264" s="40">
        <f t="shared" si="657"/>
        <v>0.18630480000000013</v>
      </c>
      <c r="Z264" s="41">
        <f t="shared" si="658"/>
        <v>1863.0480000000014</v>
      </c>
      <c r="AA264" s="13" t="s">
        <v>57</v>
      </c>
      <c r="AT264" s="37">
        <v>18</v>
      </c>
      <c r="AU264" s="37">
        <v>18</v>
      </c>
      <c r="AV264" s="10">
        <f t="shared" si="636"/>
        <v>14.5</v>
      </c>
      <c r="AW264" s="10">
        <f t="shared" si="659"/>
        <v>27.68</v>
      </c>
      <c r="AZ264" t="str">
        <f t="shared" si="660"/>
        <v>Yes</v>
      </c>
      <c r="BB264" s="37">
        <f t="shared" si="661"/>
        <v>-0.5</v>
      </c>
      <c r="BC264" s="37">
        <f t="shared" si="590"/>
        <v>-1.5</v>
      </c>
      <c r="BD264" s="37">
        <f t="shared" si="662"/>
        <v>-1.5</v>
      </c>
      <c r="BE264" s="37">
        <f t="shared" si="663"/>
        <v>-0.5</v>
      </c>
      <c r="BF264" s="13" cm="1">
        <f t="array" ref="BF264">SUMPRODUCT((1/COUNTIFS($A$3:$A264,$A$3:$A264,$H$3:$H264,$H$3:$H264,$I$3:$I264,$I$3:$I264)))</f>
        <v>129.99999999999994</v>
      </c>
    </row>
    <row r="265" spans="1:58" x14ac:dyDescent="0.2">
      <c r="A265" s="91">
        <v>46312</v>
      </c>
      <c r="C265" s="37">
        <v>11.19</v>
      </c>
      <c r="D265" s="13" t="s">
        <v>205</v>
      </c>
      <c r="E265" s="13" t="s">
        <v>142</v>
      </c>
      <c r="H265" t="s">
        <v>140</v>
      </c>
      <c r="I265" s="13">
        <v>3</v>
      </c>
      <c r="J265" s="13">
        <v>11</v>
      </c>
      <c r="K265" t="s">
        <v>491</v>
      </c>
      <c r="L265" s="37">
        <v>0.5</v>
      </c>
      <c r="M265" s="37">
        <v>12.5</v>
      </c>
      <c r="N265" s="37">
        <v>19</v>
      </c>
      <c r="O265" s="37" t="s">
        <v>17</v>
      </c>
      <c r="Q265" s="13" t="s">
        <v>4</v>
      </c>
      <c r="R265" s="37">
        <v>17.560000000000002</v>
      </c>
      <c r="S265" s="13" t="s">
        <v>136</v>
      </c>
      <c r="T265" s="38" t="str">
        <f t="shared" si="534"/>
        <v>0.00</v>
      </c>
      <c r="U265" s="38">
        <f t="shared" si="653"/>
        <v>-0.5</v>
      </c>
      <c r="V265" s="38">
        <f t="shared" si="654"/>
        <v>18.130480000000013</v>
      </c>
      <c r="W265" s="38">
        <f t="shared" si="655"/>
        <v>125.50000000000006</v>
      </c>
      <c r="X265" s="39">
        <f t="shared" si="656"/>
        <v>0.14446597609561757</v>
      </c>
      <c r="Y265" s="40">
        <f t="shared" si="657"/>
        <v>0.18130480000000013</v>
      </c>
      <c r="Z265" s="41">
        <f t="shared" si="658"/>
        <v>1813.0480000000014</v>
      </c>
      <c r="AA265" s="13" t="s">
        <v>57</v>
      </c>
      <c r="AT265" s="37">
        <v>15</v>
      </c>
      <c r="AU265" s="37">
        <v>14</v>
      </c>
      <c r="AV265" s="10">
        <f t="shared" si="636"/>
        <v>9</v>
      </c>
      <c r="AW265" s="10">
        <f t="shared" si="659"/>
        <v>17.560000000000002</v>
      </c>
      <c r="AZ265" t="str">
        <f t="shared" si="660"/>
        <v>Yes</v>
      </c>
      <c r="BB265" s="37">
        <f t="shared" si="661"/>
        <v>-0.5</v>
      </c>
      <c r="BC265" s="37">
        <f t="shared" si="590"/>
        <v>-1.5</v>
      </c>
      <c r="BD265" s="37">
        <f t="shared" si="662"/>
        <v>-1.5</v>
      </c>
      <c r="BE265" s="37">
        <f t="shared" si="663"/>
        <v>-0.5</v>
      </c>
      <c r="BF265" s="13" cm="1">
        <f t="array" ref="BF265">SUMPRODUCT((1/COUNTIFS($A$3:$A265,$A$3:$A265,$H$3:$H265,$H$3:$H265,$I$3:$I265,$I$3:$I265)))</f>
        <v>129.99999999999997</v>
      </c>
    </row>
    <row r="266" spans="1:58" x14ac:dyDescent="0.2">
      <c r="A266" s="91">
        <v>46312</v>
      </c>
      <c r="C266" s="37">
        <v>11.19</v>
      </c>
      <c r="D266" s="13" t="s">
        <v>205</v>
      </c>
      <c r="E266" s="13" t="s">
        <v>134</v>
      </c>
      <c r="H266" t="s">
        <v>138</v>
      </c>
      <c r="I266" s="13">
        <v>4</v>
      </c>
      <c r="J266" s="13">
        <v>9</v>
      </c>
      <c r="K266" t="s">
        <v>347</v>
      </c>
      <c r="L266" s="37">
        <v>0.5</v>
      </c>
      <c r="M266" s="37">
        <v>26</v>
      </c>
      <c r="N266" s="37">
        <v>31.4</v>
      </c>
      <c r="O266" s="37" t="s">
        <v>17</v>
      </c>
      <c r="Q266" s="13" t="s">
        <v>4</v>
      </c>
      <c r="R266" s="37">
        <v>28.968</v>
      </c>
      <c r="S266" s="13" t="s">
        <v>136</v>
      </c>
      <c r="T266" s="38" t="str">
        <f t="shared" si="534"/>
        <v>0.00</v>
      </c>
      <c r="U266" s="38">
        <f t="shared" ref="U266" si="664">BE266</f>
        <v>-0.5</v>
      </c>
      <c r="V266" s="38">
        <f t="shared" ref="V266" si="665">V265+U266</f>
        <v>17.630480000000013</v>
      </c>
      <c r="W266" s="38">
        <f t="shared" ref="W266" si="666">W265+L266</f>
        <v>126.00000000000006</v>
      </c>
      <c r="X266" s="39">
        <f t="shared" ref="X266" si="667">SUM(V266/W266)</f>
        <v>0.13992444444444449</v>
      </c>
      <c r="Y266" s="40">
        <f t="shared" ref="Y266" si="668">V266/100</f>
        <v>0.17630480000000012</v>
      </c>
      <c r="Z266" s="41">
        <f t="shared" ref="Z266" si="669">V266*100</f>
        <v>1763.0480000000014</v>
      </c>
      <c r="AA266" s="13" t="s">
        <v>57</v>
      </c>
      <c r="AT266" s="37">
        <v>25.1</v>
      </c>
      <c r="AU266" s="37">
        <v>26</v>
      </c>
      <c r="AV266" s="10">
        <f t="shared" si="636"/>
        <v>15.2</v>
      </c>
      <c r="AW266" s="10">
        <f t="shared" ref="AW266" si="670">0.92*(N266-1)+1</f>
        <v>28.968</v>
      </c>
      <c r="AZ266" t="str">
        <f t="shared" ref="AZ266" si="671">IF(N266&gt;=M266,"Yes","No")</f>
        <v>Yes</v>
      </c>
      <c r="BB266" s="37">
        <f t="shared" ref="BB266" si="672">IF(AA266="W",
   L266*(N266-1),
   -L266
)</f>
        <v>-0.5</v>
      </c>
      <c r="BC266" s="37">
        <f t="shared" si="590"/>
        <v>-0.5</v>
      </c>
      <c r="BD266" s="37">
        <f t="shared" ref="BD266" si="673">IF(BC266&gt;0, BC266*0.92, BC266)</f>
        <v>-0.5</v>
      </c>
      <c r="BE266" s="37">
        <f t="shared" ref="BE266" si="674">IF(
  BC266&gt;0,
  IF(
    AA266="W",
    BB266 - (BC266 - BD266),
    BB266
  ),
  BB266
)</f>
        <v>-0.5</v>
      </c>
      <c r="BF266" s="13" cm="1">
        <f t="array" ref="BF266">SUMPRODUCT((1/COUNTIFS($A$3:$A266,$A$3:$A266,$H$3:$H266,$H$3:$H266,$I$3:$I266,$I$3:$I266)))</f>
        <v>130.99999999999997</v>
      </c>
    </row>
    <row r="267" spans="1:58" x14ac:dyDescent="0.2">
      <c r="A267" s="91">
        <v>46312</v>
      </c>
      <c r="C267" s="37">
        <v>11.19</v>
      </c>
      <c r="D267" s="13" t="s">
        <v>205</v>
      </c>
      <c r="E267" s="13" t="s">
        <v>142</v>
      </c>
      <c r="H267" t="s">
        <v>140</v>
      </c>
      <c r="I267" s="13">
        <v>5</v>
      </c>
      <c r="J267" s="13">
        <v>6</v>
      </c>
      <c r="K267" t="s">
        <v>495</v>
      </c>
      <c r="L267" s="37">
        <v>0.5</v>
      </c>
      <c r="M267" s="37">
        <v>17</v>
      </c>
      <c r="N267" s="37">
        <v>17</v>
      </c>
      <c r="O267" s="37" t="s">
        <v>17</v>
      </c>
      <c r="Q267" s="13" t="s">
        <v>4</v>
      </c>
      <c r="R267" s="37">
        <v>15.72</v>
      </c>
      <c r="S267" s="13" t="s">
        <v>136</v>
      </c>
      <c r="T267" s="38" t="str">
        <f t="shared" si="534"/>
        <v>0.00</v>
      </c>
      <c r="U267" s="38">
        <f t="shared" ref="U267" si="675">BE267</f>
        <v>-0.5</v>
      </c>
      <c r="V267" s="38">
        <f t="shared" ref="V267" si="676">V266+U267</f>
        <v>17.130480000000013</v>
      </c>
      <c r="W267" s="38">
        <f t="shared" ref="W267" si="677">W266+L267</f>
        <v>126.50000000000006</v>
      </c>
      <c r="X267" s="39">
        <f t="shared" ref="X267" si="678">SUM(V267/W267)</f>
        <v>0.13541881422924906</v>
      </c>
      <c r="Y267" s="40">
        <f t="shared" ref="Y267" si="679">V267/100</f>
        <v>0.17130480000000012</v>
      </c>
      <c r="Z267" s="41">
        <f t="shared" ref="Z267" si="680">V267*100</f>
        <v>1713.0480000000014</v>
      </c>
      <c r="AA267" s="13" t="s">
        <v>57</v>
      </c>
      <c r="AT267" s="37">
        <v>11</v>
      </c>
      <c r="AU267" s="37">
        <v>11</v>
      </c>
      <c r="AV267" s="10">
        <f t="shared" si="636"/>
        <v>8</v>
      </c>
      <c r="AW267" s="10">
        <f t="shared" ref="AW267" si="681">0.92*(N267-1)+1</f>
        <v>15.72</v>
      </c>
      <c r="AZ267" t="str">
        <f t="shared" ref="AZ267" si="682">IF(N267&gt;=M267,"Yes","No")</f>
        <v>Yes</v>
      </c>
      <c r="BB267" s="37">
        <f t="shared" ref="BB267" si="683">IF(AA267="W",
   L267*(N267-1),
   -L267
)</f>
        <v>-0.5</v>
      </c>
      <c r="BC267" s="37">
        <f t="shared" si="590"/>
        <v>-0.5</v>
      </c>
      <c r="BD267" s="37">
        <f t="shared" ref="BD267" si="684">IF(BC267&gt;0, BC267*0.92, BC267)</f>
        <v>-0.5</v>
      </c>
      <c r="BE267" s="37">
        <f t="shared" ref="BE267" si="685">IF(
  BC267&gt;0,
  IF(
    AA267="W",
    BB267 - (BC267 - BD267),
    BB267
  ),
  BB267
)</f>
        <v>-0.5</v>
      </c>
      <c r="BF267" s="13" cm="1">
        <f t="array" ref="BF267">SUMPRODUCT((1/COUNTIFS($A$3:$A267,$A$3:$A267,$H$3:$H267,$H$3:$H267,$I$3:$I267,$I$3:$I267)))</f>
        <v>131.99999999999997</v>
      </c>
    </row>
    <row r="268" spans="1:58" x14ac:dyDescent="0.2">
      <c r="A268" s="91">
        <v>46312</v>
      </c>
      <c r="C268" s="37">
        <v>11.19</v>
      </c>
      <c r="D268" s="13" t="s">
        <v>205</v>
      </c>
      <c r="E268" s="13" t="s">
        <v>134</v>
      </c>
      <c r="H268" t="s">
        <v>138</v>
      </c>
      <c r="I268" s="13">
        <v>6</v>
      </c>
      <c r="J268" s="13">
        <v>3</v>
      </c>
      <c r="K268" t="s">
        <v>497</v>
      </c>
      <c r="L268" s="37">
        <v>0.5</v>
      </c>
      <c r="M268" s="37">
        <v>17.5</v>
      </c>
      <c r="N268" s="37">
        <v>17.5</v>
      </c>
      <c r="O268" s="37" t="s">
        <v>17</v>
      </c>
      <c r="Q268" s="13" t="s">
        <v>4</v>
      </c>
      <c r="R268" s="37">
        <v>16.18</v>
      </c>
      <c r="S268" s="13" t="s">
        <v>136</v>
      </c>
      <c r="T268" s="38" t="str">
        <f t="shared" si="534"/>
        <v>0.00</v>
      </c>
      <c r="U268" s="38">
        <f t="shared" ref="U268:U269" si="686">BE268</f>
        <v>-0.5</v>
      </c>
      <c r="V268" s="38">
        <f t="shared" ref="V268:V269" si="687">V267+U268</f>
        <v>16.630480000000013</v>
      </c>
      <c r="W268" s="38">
        <f t="shared" ref="W268:W269" si="688">W267+L268</f>
        <v>127.00000000000006</v>
      </c>
      <c r="X268" s="39">
        <f t="shared" ref="X268:X269" si="689">SUM(V268/W268)</f>
        <v>0.13094866141732286</v>
      </c>
      <c r="Y268" s="40">
        <f t="shared" ref="Y268:Y269" si="690">V268/100</f>
        <v>0.16630480000000014</v>
      </c>
      <c r="Z268" s="41">
        <f t="shared" ref="Z268:Z269" si="691">V268*100</f>
        <v>1663.0480000000014</v>
      </c>
      <c r="AA268" s="13" t="s">
        <v>57</v>
      </c>
      <c r="AT268" s="37">
        <v>13.8</v>
      </c>
      <c r="AU268" s="37">
        <v>14</v>
      </c>
      <c r="AV268" s="10">
        <f t="shared" si="636"/>
        <v>8.25</v>
      </c>
      <c r="AW268" s="10">
        <f t="shared" ref="AW268:AW269" si="692">0.92*(N268-1)+1</f>
        <v>16.18</v>
      </c>
      <c r="AZ268" t="str">
        <f t="shared" ref="AZ268:AZ269" si="693">IF(N268&gt;=M268,"Yes","No")</f>
        <v>Yes</v>
      </c>
      <c r="BB268" s="37">
        <f t="shared" ref="BB268:BB269" si="694">IF(AA268="W",
   L268*(N268-1),
   -L268
)</f>
        <v>-0.5</v>
      </c>
      <c r="BC268" s="37">
        <f t="shared" si="590"/>
        <v>-1</v>
      </c>
      <c r="BD268" s="37">
        <f t="shared" ref="BD268:BD269" si="695">IF(BC268&gt;0, BC268*0.92, BC268)</f>
        <v>-1</v>
      </c>
      <c r="BE268" s="37">
        <f t="shared" ref="BE268:BE269" si="696">IF(
  BC268&gt;0,
  IF(
    AA268="W",
    BB268 - (BC268 - BD268),
    BB268
  ),
  BB268
)</f>
        <v>-0.5</v>
      </c>
      <c r="BF268" s="13" cm="1">
        <f t="array" ref="BF268">SUMPRODUCT((1/COUNTIFS($A$3:$A268,$A$3:$A268,$H$3:$H268,$H$3:$H268,$I$3:$I268,$I$3:$I268)))</f>
        <v>132.99999999999997</v>
      </c>
    </row>
    <row r="269" spans="1:58" x14ac:dyDescent="0.2">
      <c r="A269" s="91">
        <v>46312</v>
      </c>
      <c r="C269" s="37">
        <v>11.19</v>
      </c>
      <c r="D269" s="13" t="s">
        <v>205</v>
      </c>
      <c r="E269" s="13" t="s">
        <v>134</v>
      </c>
      <c r="H269" t="s">
        <v>138</v>
      </c>
      <c r="I269" s="13">
        <v>6</v>
      </c>
      <c r="J269" s="13">
        <v>16</v>
      </c>
      <c r="K269" t="s">
        <v>249</v>
      </c>
      <c r="L269" s="37">
        <v>0.5</v>
      </c>
      <c r="M269" s="37">
        <v>28</v>
      </c>
      <c r="N269" s="37">
        <v>36</v>
      </c>
      <c r="O269" s="37" t="s">
        <v>17</v>
      </c>
      <c r="Q269" s="13" t="s">
        <v>4</v>
      </c>
      <c r="R269" s="37">
        <v>33.200000000000003</v>
      </c>
      <c r="S269" s="13" t="s">
        <v>136</v>
      </c>
      <c r="T269" s="38" t="str">
        <f t="shared" si="534"/>
        <v>0.00</v>
      </c>
      <c r="U269" s="38">
        <f t="shared" si="686"/>
        <v>-0.5</v>
      </c>
      <c r="V269" s="38">
        <f t="shared" si="687"/>
        <v>16.130480000000013</v>
      </c>
      <c r="W269" s="38">
        <f t="shared" si="688"/>
        <v>127.50000000000006</v>
      </c>
      <c r="X269" s="39">
        <f t="shared" si="689"/>
        <v>0.12651356862745103</v>
      </c>
      <c r="Y269" s="40">
        <f t="shared" si="690"/>
        <v>0.16130480000000014</v>
      </c>
      <c r="Z269" s="41">
        <f t="shared" si="691"/>
        <v>1613.0480000000014</v>
      </c>
      <c r="AA269" s="13" t="s">
        <v>57</v>
      </c>
      <c r="AT269" s="37">
        <v>27.65</v>
      </c>
      <c r="AU269" s="37">
        <v>31</v>
      </c>
      <c r="AV269" s="10">
        <f t="shared" si="636"/>
        <v>17.5</v>
      </c>
      <c r="AW269" s="10">
        <f t="shared" si="692"/>
        <v>33.200000000000003</v>
      </c>
      <c r="AZ269" t="str">
        <f t="shared" si="693"/>
        <v>Yes</v>
      </c>
      <c r="BB269" s="37">
        <f t="shared" si="694"/>
        <v>-0.5</v>
      </c>
      <c r="BC269" s="37">
        <f t="shared" si="590"/>
        <v>-1</v>
      </c>
      <c r="BD269" s="37">
        <f t="shared" si="695"/>
        <v>-1</v>
      </c>
      <c r="BE269" s="37">
        <f t="shared" si="696"/>
        <v>-0.5</v>
      </c>
      <c r="BF269" s="13" cm="1">
        <f t="array" ref="BF269">SUMPRODUCT((1/COUNTIFS($A$3:$A269,$A$3:$A269,$H$3:$H269,$H$3:$H269,$I$3:$I269,$I$3:$I269)))</f>
        <v>132.99999999999997</v>
      </c>
    </row>
    <row r="270" spans="1:58" x14ac:dyDescent="0.2">
      <c r="A270" s="91">
        <v>46312</v>
      </c>
      <c r="C270" s="37">
        <v>11.19</v>
      </c>
      <c r="D270" s="13" t="s">
        <v>205</v>
      </c>
      <c r="E270" s="13" t="s">
        <v>142</v>
      </c>
      <c r="H270" t="s">
        <v>140</v>
      </c>
      <c r="I270" s="13">
        <v>6</v>
      </c>
      <c r="J270" s="13">
        <v>12</v>
      </c>
      <c r="K270" t="s">
        <v>498</v>
      </c>
      <c r="L270" s="37">
        <v>0.5</v>
      </c>
      <c r="M270" s="37">
        <v>8</v>
      </c>
      <c r="N270" s="37">
        <v>8.14</v>
      </c>
      <c r="O270" s="37" t="s">
        <v>17</v>
      </c>
      <c r="Q270" s="13" t="s">
        <v>4</v>
      </c>
      <c r="R270" s="37">
        <v>7.5688000000000004</v>
      </c>
      <c r="S270" s="13" t="s">
        <v>136</v>
      </c>
      <c r="T270" s="38" t="str">
        <f t="shared" si="534"/>
        <v>0.00</v>
      </c>
      <c r="U270" s="38">
        <f t="shared" ref="U270:U271" si="697">BE270</f>
        <v>-0.5</v>
      </c>
      <c r="V270" s="38">
        <f t="shared" ref="V270:V271" si="698">V269+U270</f>
        <v>15.630480000000013</v>
      </c>
      <c r="W270" s="38">
        <f t="shared" ref="W270:W271" si="699">W269+L270</f>
        <v>128.00000000000006</v>
      </c>
      <c r="X270" s="39">
        <f t="shared" ref="X270:X271" si="700">SUM(V270/W270)</f>
        <v>0.12211312500000004</v>
      </c>
      <c r="Y270" s="40">
        <f t="shared" ref="Y270:Y271" si="701">V270/100</f>
        <v>0.15630480000000013</v>
      </c>
      <c r="Z270" s="41">
        <f t="shared" ref="Z270:Z271" si="702">V270*100</f>
        <v>1563.0480000000014</v>
      </c>
      <c r="AA270" s="13" t="s">
        <v>57</v>
      </c>
      <c r="AT270" s="37">
        <v>9.5</v>
      </c>
      <c r="AU270" s="37">
        <v>7.5</v>
      </c>
      <c r="AV270" s="10">
        <f t="shared" si="636"/>
        <v>3.5700000000000003</v>
      </c>
      <c r="AW270" s="10">
        <f t="shared" ref="AW270:AW271" si="703">0.92*(N270-1)+1</f>
        <v>7.5688000000000004</v>
      </c>
      <c r="AZ270" t="str">
        <f t="shared" ref="AZ270:AZ271" si="704">IF(N270&gt;=M270,"Yes","No")</f>
        <v>Yes</v>
      </c>
      <c r="BB270" s="37">
        <f t="shared" ref="BB270:BB271" si="705">IF(AA270="W",
   L270*(N270-1),
   -L270
)</f>
        <v>-0.5</v>
      </c>
      <c r="BC270" s="37">
        <f t="shared" si="590"/>
        <v>-1</v>
      </c>
      <c r="BD270" s="37">
        <f t="shared" ref="BD270:BD271" si="706">IF(BC270&gt;0, BC270*0.92, BC270)</f>
        <v>-1</v>
      </c>
      <c r="BE270" s="37">
        <f t="shared" ref="BE270:BE271" si="707">IF(
  BC270&gt;0,
  IF(
    AA270="W",
    BB270 - (BC270 - BD270),
    BB270
  ),
  BB270
)</f>
        <v>-0.5</v>
      </c>
      <c r="BF270" s="13" cm="1">
        <f t="array" ref="BF270">SUMPRODUCT((1/COUNTIFS($A$3:$A270,$A$3:$A270,$H$3:$H270,$H$3:$H270,$I$3:$I270,$I$3:$I270)))</f>
        <v>133.99999999999997</v>
      </c>
    </row>
    <row r="271" spans="1:58" x14ac:dyDescent="0.2">
      <c r="A271" s="91">
        <v>46312</v>
      </c>
      <c r="C271" s="37">
        <v>11.19</v>
      </c>
      <c r="D271" s="13" t="s">
        <v>205</v>
      </c>
      <c r="E271" s="13" t="s">
        <v>142</v>
      </c>
      <c r="H271" t="s">
        <v>140</v>
      </c>
      <c r="I271" s="13">
        <v>6</v>
      </c>
      <c r="J271" s="13">
        <v>15</v>
      </c>
      <c r="K271" t="s">
        <v>499</v>
      </c>
      <c r="L271" s="37">
        <v>0.5</v>
      </c>
      <c r="M271" s="37">
        <v>12</v>
      </c>
      <c r="N271" s="37">
        <v>12.24</v>
      </c>
      <c r="O271" s="37" t="s">
        <v>17</v>
      </c>
      <c r="Q271" s="13" t="s">
        <v>4</v>
      </c>
      <c r="R271" s="37">
        <v>11.3408</v>
      </c>
      <c r="S271" s="13" t="s">
        <v>136</v>
      </c>
      <c r="T271" s="38" t="str">
        <f t="shared" si="534"/>
        <v>0.00</v>
      </c>
      <c r="U271" s="38">
        <f t="shared" si="697"/>
        <v>-0.5</v>
      </c>
      <c r="V271" s="38">
        <f t="shared" si="698"/>
        <v>15.130480000000013</v>
      </c>
      <c r="W271" s="38">
        <f t="shared" si="699"/>
        <v>128.50000000000006</v>
      </c>
      <c r="X271" s="39">
        <f t="shared" si="700"/>
        <v>0.11774692607003896</v>
      </c>
      <c r="Y271" s="40">
        <f t="shared" si="701"/>
        <v>0.15130480000000013</v>
      </c>
      <c r="Z271" s="41">
        <f t="shared" si="702"/>
        <v>1513.0480000000014</v>
      </c>
      <c r="AA271" s="13" t="s">
        <v>57</v>
      </c>
      <c r="AT271" s="37">
        <v>13</v>
      </c>
      <c r="AU271" s="37">
        <v>13</v>
      </c>
      <c r="AV271" s="10">
        <f t="shared" si="636"/>
        <v>5.62</v>
      </c>
      <c r="AW271" s="10">
        <f t="shared" si="703"/>
        <v>11.3408</v>
      </c>
      <c r="AZ271" t="str">
        <f t="shared" si="704"/>
        <v>Yes</v>
      </c>
      <c r="BB271" s="37">
        <f t="shared" si="705"/>
        <v>-0.5</v>
      </c>
      <c r="BC271" s="37">
        <f t="shared" si="590"/>
        <v>-1</v>
      </c>
      <c r="BD271" s="37">
        <f t="shared" si="706"/>
        <v>-1</v>
      </c>
      <c r="BE271" s="37">
        <f t="shared" si="707"/>
        <v>-0.5</v>
      </c>
      <c r="BF271" s="13" cm="1">
        <f t="array" ref="BF271">SUMPRODUCT((1/COUNTIFS($A$3:$A271,$A$3:$A271,$H$3:$H271,$H$3:$H271,$I$3:$I271,$I$3:$I271)))</f>
        <v>133.99999999999997</v>
      </c>
    </row>
    <row r="272" spans="1:58" x14ac:dyDescent="0.2">
      <c r="A272" s="91">
        <v>46312</v>
      </c>
      <c r="C272" s="37">
        <v>11.19</v>
      </c>
      <c r="D272" s="13" t="s">
        <v>205</v>
      </c>
      <c r="E272" s="13" t="s">
        <v>134</v>
      </c>
      <c r="H272" t="s">
        <v>138</v>
      </c>
      <c r="I272" s="13">
        <v>7</v>
      </c>
      <c r="J272" s="13">
        <v>7</v>
      </c>
      <c r="K272" t="s">
        <v>501</v>
      </c>
      <c r="L272" s="37">
        <v>0.5</v>
      </c>
      <c r="M272" s="37">
        <v>25</v>
      </c>
      <c r="N272" s="37">
        <v>25.3</v>
      </c>
      <c r="O272" s="37" t="s">
        <v>17</v>
      </c>
      <c r="Q272" s="13" t="s">
        <v>4</v>
      </c>
      <c r="R272" s="37">
        <v>23.356000000000002</v>
      </c>
      <c r="S272" s="13" t="s">
        <v>136</v>
      </c>
      <c r="T272" s="38" t="str">
        <f t="shared" si="534"/>
        <v>0.00</v>
      </c>
      <c r="U272" s="38">
        <f t="shared" ref="U272" si="708">BE272</f>
        <v>-0.5</v>
      </c>
      <c r="V272" s="38">
        <f t="shared" ref="V272" si="709">V271+U272</f>
        <v>14.630480000000013</v>
      </c>
      <c r="W272" s="38">
        <f t="shared" ref="W272" si="710">W271+L272</f>
        <v>129.00000000000006</v>
      </c>
      <c r="X272" s="39">
        <f t="shared" ref="X272" si="711">SUM(V272/W272)</f>
        <v>0.1134145736434109</v>
      </c>
      <c r="Y272" s="40">
        <f t="shared" ref="Y272" si="712">V272/100</f>
        <v>0.14630480000000012</v>
      </c>
      <c r="Z272" s="41">
        <f t="shared" ref="Z272" si="713">V272*100</f>
        <v>1463.0480000000014</v>
      </c>
      <c r="AA272" s="13" t="s">
        <v>57</v>
      </c>
      <c r="AT272" s="37">
        <v>63.05</v>
      </c>
      <c r="AU272" s="37">
        <v>26</v>
      </c>
      <c r="AV272" s="10">
        <f t="shared" si="636"/>
        <v>12.15</v>
      </c>
      <c r="AW272" s="10">
        <f t="shared" ref="AW272" si="714">0.92*(N272-1)+1</f>
        <v>23.356000000000002</v>
      </c>
      <c r="AZ272" t="str">
        <f t="shared" ref="AZ272" si="715">IF(N272&gt;=M272,"Yes","No")</f>
        <v>Yes</v>
      </c>
      <c r="BB272" s="37">
        <f t="shared" ref="BB272" si="716">IF(AA272="W",
   L272*(N272-1),
   -L272
)</f>
        <v>-0.5</v>
      </c>
      <c r="BC272" s="37">
        <f t="shared" si="590"/>
        <v>-0.5</v>
      </c>
      <c r="BD272" s="37">
        <f t="shared" ref="BD272" si="717">IF(BC272&gt;0, BC272*0.92, BC272)</f>
        <v>-0.5</v>
      </c>
      <c r="BE272" s="37">
        <f t="shared" ref="BE272" si="718">IF(
  BC272&gt;0,
  IF(
    AA272="W",
    BB272 - (BC272 - BD272),
    BB272
  ),
  BB272
)</f>
        <v>-0.5</v>
      </c>
      <c r="BF272" s="13" cm="1">
        <f t="array" ref="BF272">SUMPRODUCT((1/COUNTIFS($A$3:$A272,$A$3:$A272,$H$3:$H272,$H$3:$H272,$I$3:$I272,$I$3:$I272)))</f>
        <v>134.99999999999997</v>
      </c>
    </row>
    <row r="273" spans="1:58" x14ac:dyDescent="0.2">
      <c r="A273" s="91">
        <v>46312</v>
      </c>
      <c r="C273" s="37">
        <v>11.19</v>
      </c>
      <c r="D273" s="13" t="s">
        <v>205</v>
      </c>
      <c r="E273" s="13" t="s">
        <v>142</v>
      </c>
      <c r="H273" t="s">
        <v>140</v>
      </c>
      <c r="I273" s="13">
        <v>7</v>
      </c>
      <c r="J273" s="13">
        <v>3</v>
      </c>
      <c r="K273" s="98" t="s">
        <v>502</v>
      </c>
      <c r="L273" s="37">
        <v>0.5</v>
      </c>
      <c r="M273" s="37">
        <v>8.1999999999999993</v>
      </c>
      <c r="N273" s="37">
        <v>11</v>
      </c>
      <c r="O273" s="37" t="s">
        <v>17</v>
      </c>
      <c r="Q273" s="13" t="s">
        <v>4</v>
      </c>
      <c r="R273" s="37">
        <v>10.200000000000001</v>
      </c>
      <c r="S273" s="13">
        <v>4</v>
      </c>
      <c r="T273" s="38" t="str">
        <f t="shared" si="534"/>
        <v>0.00</v>
      </c>
      <c r="U273" s="38">
        <f t="shared" ref="U273:U274" si="719">BE273</f>
        <v>-0.5</v>
      </c>
      <c r="V273" s="38">
        <f t="shared" ref="V273:V274" si="720">V272+U273</f>
        <v>14.130480000000013</v>
      </c>
      <c r="W273" s="38">
        <f t="shared" ref="W273:W274" si="721">W272+L273</f>
        <v>129.50000000000006</v>
      </c>
      <c r="X273" s="39">
        <f t="shared" ref="X273:X274" si="722">SUM(V273/W273)</f>
        <v>0.10911567567567573</v>
      </c>
      <c r="Y273" s="40">
        <f t="shared" ref="Y273:Y274" si="723">V273/100</f>
        <v>0.14130480000000012</v>
      </c>
      <c r="Z273" s="41">
        <f t="shared" ref="Z273:Z274" si="724">V273*100</f>
        <v>1413.0480000000014</v>
      </c>
      <c r="AA273" s="13" t="s">
        <v>57</v>
      </c>
      <c r="AT273" s="37">
        <v>8</v>
      </c>
      <c r="AU273" s="37">
        <v>8</v>
      </c>
      <c r="AV273" s="10">
        <f t="shared" si="636"/>
        <v>5</v>
      </c>
      <c r="AW273" s="10">
        <f t="shared" ref="AW273:AW274" si="725">0.92*(N273-1)+1</f>
        <v>10.200000000000001</v>
      </c>
      <c r="AZ273" t="str">
        <f t="shared" ref="AZ273:AZ274" si="726">IF(N273&gt;=M273,"Yes","No")</f>
        <v>Yes</v>
      </c>
      <c r="BB273" s="37">
        <f t="shared" ref="BB273:BB274" si="727">IF(AA273="W",
   L273*(N273-1),
   -L273
)</f>
        <v>-0.5</v>
      </c>
      <c r="BC273" s="37">
        <f t="shared" si="590"/>
        <v>-1</v>
      </c>
      <c r="BD273" s="37">
        <f t="shared" ref="BD273:BD274" si="728">IF(BC273&gt;0, BC273*0.92, BC273)</f>
        <v>-1</v>
      </c>
      <c r="BE273" s="37">
        <f t="shared" ref="BE273:BE274" si="729">IF(
  BC273&gt;0,
  IF(
    AA273="W",
    BB273 - (BC273 - BD273),
    BB273
  ),
  BB273
)</f>
        <v>-0.5</v>
      </c>
      <c r="BF273" s="13" cm="1">
        <f t="array" ref="BF273">SUMPRODUCT((1/COUNTIFS($A$3:$A273,$A$3:$A273,$H$3:$H273,$H$3:$H273,$I$3:$I273,$I$3:$I273)))</f>
        <v>135.99999999999997</v>
      </c>
    </row>
    <row r="274" spans="1:58" x14ac:dyDescent="0.2">
      <c r="A274" s="91">
        <v>46312</v>
      </c>
      <c r="C274" s="37">
        <v>11.19</v>
      </c>
      <c r="D274" s="13" t="s">
        <v>205</v>
      </c>
      <c r="E274" s="13" t="s">
        <v>142</v>
      </c>
      <c r="H274" t="s">
        <v>140</v>
      </c>
      <c r="I274" s="13">
        <v>7</v>
      </c>
      <c r="J274" s="13">
        <v>4</v>
      </c>
      <c r="K274" t="s">
        <v>503</v>
      </c>
      <c r="L274" s="37">
        <v>0.5</v>
      </c>
      <c r="M274" s="37">
        <v>17</v>
      </c>
      <c r="N274" s="37">
        <v>22.25</v>
      </c>
      <c r="O274" s="37" t="s">
        <v>17</v>
      </c>
      <c r="Q274" s="13" t="s">
        <v>4</v>
      </c>
      <c r="R274" s="37">
        <v>20.55</v>
      </c>
      <c r="S274" s="13" t="s">
        <v>136</v>
      </c>
      <c r="T274" s="38" t="str">
        <f t="shared" si="534"/>
        <v>0.00</v>
      </c>
      <c r="U274" s="38">
        <f t="shared" si="719"/>
        <v>-0.5</v>
      </c>
      <c r="V274" s="38">
        <f t="shared" si="720"/>
        <v>13.630480000000013</v>
      </c>
      <c r="W274" s="38">
        <f t="shared" si="721"/>
        <v>130.00000000000006</v>
      </c>
      <c r="X274" s="39">
        <f t="shared" si="722"/>
        <v>0.10484984615384621</v>
      </c>
      <c r="Y274" s="40">
        <f t="shared" si="723"/>
        <v>0.13630480000000011</v>
      </c>
      <c r="Z274" s="41">
        <f t="shared" si="724"/>
        <v>1363.0480000000014</v>
      </c>
      <c r="AA274" s="13" t="s">
        <v>57</v>
      </c>
      <c r="AT274" s="37">
        <v>15</v>
      </c>
      <c r="AU274" s="37">
        <v>15</v>
      </c>
      <c r="AV274" s="10">
        <f t="shared" si="636"/>
        <v>10.625</v>
      </c>
      <c r="AW274" s="10">
        <f t="shared" si="725"/>
        <v>20.55</v>
      </c>
      <c r="AZ274" t="str">
        <f t="shared" si="726"/>
        <v>Yes</v>
      </c>
      <c r="BB274" s="37">
        <f t="shared" si="727"/>
        <v>-0.5</v>
      </c>
      <c r="BC274" s="37">
        <f t="shared" si="590"/>
        <v>-1</v>
      </c>
      <c r="BD274" s="37">
        <f t="shared" si="728"/>
        <v>-1</v>
      </c>
      <c r="BE274" s="37">
        <f t="shared" si="729"/>
        <v>-0.5</v>
      </c>
      <c r="BF274" s="13" cm="1">
        <f t="array" ref="BF274">SUMPRODUCT((1/COUNTIFS($A$3:$A274,$A$3:$A274,$H$3:$H274,$H$3:$H274,$I$3:$I274,$I$3:$I274)))</f>
        <v>135.99999999999997</v>
      </c>
    </row>
    <row r="275" spans="1:58" x14ac:dyDescent="0.2">
      <c r="A275" s="91">
        <v>46312</v>
      </c>
      <c r="C275" s="37">
        <v>11.19</v>
      </c>
      <c r="D275" s="13" t="s">
        <v>205</v>
      </c>
      <c r="E275" s="13" t="s">
        <v>142</v>
      </c>
      <c r="H275" t="s">
        <v>140</v>
      </c>
      <c r="I275" s="13">
        <v>8</v>
      </c>
      <c r="J275" s="13">
        <v>1</v>
      </c>
      <c r="K275" t="s">
        <v>504</v>
      </c>
      <c r="L275" s="37">
        <v>0.5</v>
      </c>
      <c r="M275" s="37">
        <v>27</v>
      </c>
      <c r="N275" s="37">
        <v>30.28</v>
      </c>
      <c r="O275" s="37" t="s">
        <v>17</v>
      </c>
      <c r="Q275" s="13" t="s">
        <v>4</v>
      </c>
      <c r="R275" s="37">
        <v>27.937600000000003</v>
      </c>
      <c r="S275" s="13" t="s">
        <v>136</v>
      </c>
      <c r="T275" s="38" t="str">
        <f t="shared" si="534"/>
        <v>0.00</v>
      </c>
      <c r="U275" s="38">
        <f t="shared" ref="U275:U278" si="730">BE275</f>
        <v>-0.5</v>
      </c>
      <c r="V275" s="38">
        <f t="shared" ref="V275:V278" si="731">V274+U275</f>
        <v>13.130480000000013</v>
      </c>
      <c r="W275" s="38">
        <f t="shared" ref="W275:W278" si="732">W274+L275</f>
        <v>130.50000000000006</v>
      </c>
      <c r="X275" s="39">
        <f t="shared" ref="X275:X278" si="733">SUM(V275/W275)</f>
        <v>0.10061670498084296</v>
      </c>
      <c r="Y275" s="40">
        <f t="shared" ref="Y275:Y278" si="734">V275/100</f>
        <v>0.13130480000000014</v>
      </c>
      <c r="Z275" s="41">
        <f t="shared" ref="Z275:Z278" si="735">V275*100</f>
        <v>1313.0480000000014</v>
      </c>
      <c r="AA275" s="13" t="s">
        <v>57</v>
      </c>
      <c r="AT275" s="37">
        <v>22.6</v>
      </c>
      <c r="AU275" s="37">
        <v>19</v>
      </c>
      <c r="AV275" s="10">
        <f t="shared" si="636"/>
        <v>14.64</v>
      </c>
      <c r="AW275" s="10">
        <f t="shared" ref="AW275:AW278" si="736">0.92*(N275-1)+1</f>
        <v>27.937600000000003</v>
      </c>
      <c r="AZ275" t="str">
        <f t="shared" ref="AZ275:AZ278" si="737">IF(N275&gt;=M275,"Yes","No")</f>
        <v>Yes</v>
      </c>
      <c r="BB275" s="37">
        <f t="shared" ref="BB275:BB278" si="738">IF(AA275="W",
   L275*(N275-1),
   -L275
)</f>
        <v>-0.5</v>
      </c>
      <c r="BC275" s="37">
        <f t="shared" si="590"/>
        <v>-2</v>
      </c>
      <c r="BD275" s="37">
        <f t="shared" ref="BD275:BD278" si="739">IF(BC275&gt;0, BC275*0.92, BC275)</f>
        <v>-2</v>
      </c>
      <c r="BE275" s="37">
        <f t="shared" ref="BE275:BE278" si="740">IF(
  BC275&gt;0,
  IF(
    AA275="W",
    BB275 - (BC275 - BD275),
    BB275
  ),
  BB275
)</f>
        <v>-0.5</v>
      </c>
      <c r="BF275" s="13" cm="1">
        <f t="array" ref="BF275">SUMPRODUCT((1/COUNTIFS($A$3:$A275,$A$3:$A275,$H$3:$H275,$H$3:$H275,$I$3:$I275,$I$3:$I275)))</f>
        <v>136.99999999999997</v>
      </c>
    </row>
    <row r="276" spans="1:58" x14ac:dyDescent="0.2">
      <c r="A276" s="91">
        <v>46312</v>
      </c>
      <c r="C276" s="37">
        <v>11.19</v>
      </c>
      <c r="D276" s="13" t="s">
        <v>205</v>
      </c>
      <c r="E276" s="13" t="s">
        <v>142</v>
      </c>
      <c r="H276" t="s">
        <v>140</v>
      </c>
      <c r="I276" s="13">
        <v>8</v>
      </c>
      <c r="J276" s="13">
        <v>2</v>
      </c>
      <c r="K276" t="s">
        <v>505</v>
      </c>
      <c r="L276" s="37">
        <v>0.5</v>
      </c>
      <c r="M276" s="37">
        <v>18</v>
      </c>
      <c r="N276" s="37">
        <v>18</v>
      </c>
      <c r="O276" s="37" t="s">
        <v>17</v>
      </c>
      <c r="Q276" s="13" t="s">
        <v>4</v>
      </c>
      <c r="R276" s="37">
        <v>16.64</v>
      </c>
      <c r="S276" s="13" t="s">
        <v>136</v>
      </c>
      <c r="T276" s="38" t="str">
        <f t="shared" si="534"/>
        <v>0.00</v>
      </c>
      <c r="U276" s="38">
        <f t="shared" si="730"/>
        <v>-0.5</v>
      </c>
      <c r="V276" s="38">
        <f t="shared" si="731"/>
        <v>12.630480000000013</v>
      </c>
      <c r="W276" s="38">
        <f t="shared" si="732"/>
        <v>131.00000000000006</v>
      </c>
      <c r="X276" s="39">
        <f t="shared" si="733"/>
        <v>9.6415877862595478E-2</v>
      </c>
      <c r="Y276" s="40">
        <f t="shared" si="734"/>
        <v>0.12630480000000013</v>
      </c>
      <c r="Z276" s="41">
        <f t="shared" si="735"/>
        <v>1263.0480000000014</v>
      </c>
      <c r="AA276" s="13" t="s">
        <v>57</v>
      </c>
      <c r="AT276" s="37">
        <v>14</v>
      </c>
      <c r="AU276" s="37">
        <v>14</v>
      </c>
      <c r="AV276" s="10">
        <f t="shared" si="636"/>
        <v>8.5</v>
      </c>
      <c r="AW276" s="10">
        <f t="shared" si="736"/>
        <v>16.64</v>
      </c>
      <c r="AZ276" t="str">
        <f t="shared" si="737"/>
        <v>Yes</v>
      </c>
      <c r="BB276" s="37">
        <f t="shared" si="738"/>
        <v>-0.5</v>
      </c>
      <c r="BC276" s="37">
        <f t="shared" si="590"/>
        <v>-2</v>
      </c>
      <c r="BD276" s="37">
        <f t="shared" si="739"/>
        <v>-2</v>
      </c>
      <c r="BE276" s="37">
        <f t="shared" si="740"/>
        <v>-0.5</v>
      </c>
      <c r="BF276" s="13" cm="1">
        <f t="array" ref="BF276">SUMPRODUCT((1/COUNTIFS($A$3:$A276,$A$3:$A276,$H$3:$H276,$H$3:$H276,$I$3:$I276,$I$3:$I276)))</f>
        <v>136.99999999999997</v>
      </c>
    </row>
    <row r="277" spans="1:58" x14ac:dyDescent="0.2">
      <c r="A277" s="91">
        <v>46312</v>
      </c>
      <c r="C277" s="37">
        <v>11.19</v>
      </c>
      <c r="D277" s="13" t="s">
        <v>205</v>
      </c>
      <c r="E277" s="13" t="s">
        <v>142</v>
      </c>
      <c r="H277" t="s">
        <v>140</v>
      </c>
      <c r="I277" s="13">
        <v>8</v>
      </c>
      <c r="J277" s="13">
        <v>4</v>
      </c>
      <c r="K277" t="s">
        <v>506</v>
      </c>
      <c r="L277" s="37">
        <v>0.5</v>
      </c>
      <c r="M277" s="37">
        <v>17</v>
      </c>
      <c r="N277" s="37">
        <v>18.32</v>
      </c>
      <c r="O277" s="37" t="s">
        <v>17</v>
      </c>
      <c r="Q277" s="13" t="s">
        <v>4</v>
      </c>
      <c r="R277" s="37">
        <v>16.9344</v>
      </c>
      <c r="S277" s="13" t="s">
        <v>136</v>
      </c>
      <c r="T277" s="38" t="str">
        <f t="shared" si="534"/>
        <v>0.00</v>
      </c>
      <c r="U277" s="38">
        <f t="shared" si="730"/>
        <v>-0.5</v>
      </c>
      <c r="V277" s="38">
        <f t="shared" si="731"/>
        <v>12.130480000000013</v>
      </c>
      <c r="W277" s="38">
        <f t="shared" si="732"/>
        <v>131.50000000000006</v>
      </c>
      <c r="X277" s="39">
        <f t="shared" si="733"/>
        <v>9.2246996197718686E-2</v>
      </c>
      <c r="Y277" s="40">
        <f t="shared" si="734"/>
        <v>0.12130480000000013</v>
      </c>
      <c r="Z277" s="41">
        <f t="shared" si="735"/>
        <v>1213.0480000000014</v>
      </c>
      <c r="AA277" s="13" t="s">
        <v>57</v>
      </c>
      <c r="AT277" s="37">
        <v>15.5</v>
      </c>
      <c r="AU277" s="37">
        <v>16</v>
      </c>
      <c r="AV277" s="10">
        <f t="shared" si="636"/>
        <v>8.66</v>
      </c>
      <c r="AW277" s="10">
        <f t="shared" si="736"/>
        <v>16.9344</v>
      </c>
      <c r="AZ277" t="str">
        <f t="shared" si="737"/>
        <v>Yes</v>
      </c>
      <c r="BB277" s="37">
        <f t="shared" si="738"/>
        <v>-0.5</v>
      </c>
      <c r="BC277" s="37">
        <f t="shared" si="590"/>
        <v>-2</v>
      </c>
      <c r="BD277" s="37">
        <f t="shared" si="739"/>
        <v>-2</v>
      </c>
      <c r="BE277" s="37">
        <f t="shared" si="740"/>
        <v>-0.5</v>
      </c>
      <c r="BF277" s="13" cm="1">
        <f t="array" ref="BF277">SUMPRODUCT((1/COUNTIFS($A$3:$A277,$A$3:$A277,$H$3:$H277,$H$3:$H277,$I$3:$I277,$I$3:$I277)))</f>
        <v>137</v>
      </c>
    </row>
    <row r="278" spans="1:58" x14ac:dyDescent="0.2">
      <c r="A278" s="91">
        <v>46312</v>
      </c>
      <c r="C278" s="37">
        <v>11.19</v>
      </c>
      <c r="D278" s="13" t="s">
        <v>205</v>
      </c>
      <c r="E278" s="13" t="s">
        <v>142</v>
      </c>
      <c r="H278" t="s">
        <v>140</v>
      </c>
      <c r="I278" s="13">
        <v>8</v>
      </c>
      <c r="J278" s="13">
        <v>10</v>
      </c>
      <c r="K278" t="s">
        <v>507</v>
      </c>
      <c r="L278" s="37">
        <v>0.5</v>
      </c>
      <c r="M278" s="37">
        <v>26</v>
      </c>
      <c r="N278" s="37">
        <v>29</v>
      </c>
      <c r="O278" s="37" t="s">
        <v>17</v>
      </c>
      <c r="Q278" s="13" t="s">
        <v>4</v>
      </c>
      <c r="R278" s="37">
        <v>26.76</v>
      </c>
      <c r="S278" s="13" t="s">
        <v>136</v>
      </c>
      <c r="T278" s="38" t="str">
        <f t="shared" si="534"/>
        <v>0.00</v>
      </c>
      <c r="U278" s="38">
        <f t="shared" si="730"/>
        <v>-0.5</v>
      </c>
      <c r="V278" s="38">
        <f t="shared" si="731"/>
        <v>11.630480000000013</v>
      </c>
      <c r="W278" s="38">
        <f t="shared" si="732"/>
        <v>132.00000000000006</v>
      </c>
      <c r="X278" s="39">
        <f t="shared" si="733"/>
        <v>8.8109696969697032E-2</v>
      </c>
      <c r="Y278" s="40">
        <f t="shared" si="734"/>
        <v>0.11630480000000012</v>
      </c>
      <c r="Z278" s="41">
        <f t="shared" si="735"/>
        <v>1163.0480000000014</v>
      </c>
      <c r="AA278" s="13" t="s">
        <v>57</v>
      </c>
      <c r="AT278" s="37">
        <v>23.6</v>
      </c>
      <c r="AU278" s="37">
        <v>19</v>
      </c>
      <c r="AV278" s="10">
        <f t="shared" si="636"/>
        <v>14</v>
      </c>
      <c r="AW278" s="10">
        <f t="shared" si="736"/>
        <v>26.76</v>
      </c>
      <c r="AZ278" t="str">
        <f t="shared" si="737"/>
        <v>Yes</v>
      </c>
      <c r="BB278" s="37">
        <f t="shared" si="738"/>
        <v>-0.5</v>
      </c>
      <c r="BC278" s="37">
        <f t="shared" si="590"/>
        <v>-2</v>
      </c>
      <c r="BD278" s="37">
        <f t="shared" si="739"/>
        <v>-2</v>
      </c>
      <c r="BE278" s="37">
        <f t="shared" si="740"/>
        <v>-0.5</v>
      </c>
      <c r="BF278" s="13" cm="1">
        <f t="array" ref="BF278">SUMPRODUCT((1/COUNTIFS($A$3:$A278,$A$3:$A278,$H$3:$H278,$H$3:$H278,$I$3:$I278,$I$3:$I278)))</f>
        <v>136.99999999999997</v>
      </c>
    </row>
    <row r="279" spans="1:58" x14ac:dyDescent="0.2">
      <c r="A279" s="91">
        <v>46312</v>
      </c>
      <c r="C279" s="37">
        <v>11.19</v>
      </c>
      <c r="D279" s="13" t="s">
        <v>205</v>
      </c>
      <c r="E279" s="13" t="s">
        <v>134</v>
      </c>
      <c r="H279" t="s">
        <v>138</v>
      </c>
      <c r="I279" s="13">
        <v>9</v>
      </c>
      <c r="J279" s="13">
        <v>3</v>
      </c>
      <c r="K279" s="92" t="s">
        <v>508</v>
      </c>
      <c r="L279" s="37">
        <v>0.5</v>
      </c>
      <c r="M279" s="37">
        <v>29</v>
      </c>
      <c r="N279" s="37">
        <v>49</v>
      </c>
      <c r="O279" s="37" t="s">
        <v>17</v>
      </c>
      <c r="Q279" s="13" t="s">
        <v>4</v>
      </c>
      <c r="R279" s="37">
        <v>45.160000000000004</v>
      </c>
      <c r="S279" s="13">
        <v>3</v>
      </c>
      <c r="T279" s="38" t="str">
        <f t="shared" si="534"/>
        <v>0.00</v>
      </c>
      <c r="U279" s="38">
        <f t="shared" ref="U279" si="741">BE279</f>
        <v>-0.5</v>
      </c>
      <c r="V279" s="38">
        <f t="shared" ref="V279" si="742">V278+U279</f>
        <v>11.130480000000013</v>
      </c>
      <c r="W279" s="38">
        <f t="shared" ref="W279" si="743">W278+L279</f>
        <v>132.50000000000006</v>
      </c>
      <c r="X279" s="39">
        <f t="shared" ref="X279" si="744">SUM(V279/W279)</f>
        <v>8.4003622641509498E-2</v>
      </c>
      <c r="Y279" s="40">
        <f t="shared" ref="Y279" si="745">V279/100</f>
        <v>0.11130480000000013</v>
      </c>
      <c r="Z279" s="41">
        <f t="shared" ref="Z279" si="746">V279*100</f>
        <v>1113.0480000000014</v>
      </c>
      <c r="AA279" s="13" t="s">
        <v>57</v>
      </c>
      <c r="AT279" s="37">
        <v>42.3</v>
      </c>
      <c r="AU279" s="37">
        <v>41</v>
      </c>
      <c r="AV279" s="10">
        <f t="shared" si="636"/>
        <v>24</v>
      </c>
      <c r="AW279" s="10">
        <f t="shared" ref="AW279" si="747">0.92*(N279-1)+1</f>
        <v>45.160000000000004</v>
      </c>
      <c r="AZ279" t="str">
        <f t="shared" ref="AZ279" si="748">IF(N279&gt;=M279,"Yes","No")</f>
        <v>Yes</v>
      </c>
      <c r="BB279" s="37">
        <f t="shared" ref="BB279" si="749">IF(AA279="W",
   L279*(N279-1),
   -L279
)</f>
        <v>-0.5</v>
      </c>
      <c r="BC279" s="37">
        <f t="shared" si="590"/>
        <v>-0.5</v>
      </c>
      <c r="BD279" s="37">
        <f t="shared" ref="BD279" si="750">IF(BC279&gt;0, BC279*0.92, BC279)</f>
        <v>-0.5</v>
      </c>
      <c r="BE279" s="37">
        <f t="shared" ref="BE279" si="751">IF(
  BC279&gt;0,
  IF(
    AA279="W",
    BB279 - (BC279 - BD279),
    BB279
  ),
  BB279
)</f>
        <v>-0.5</v>
      </c>
      <c r="BF279" s="13" cm="1">
        <f t="array" ref="BF279">SUMPRODUCT((1/COUNTIFS($A$3:$A279,$A$3:$A279,$H$3:$H279,$H$3:$H279,$I$3:$I279,$I$3:$I279)))</f>
        <v>137.99999999999997</v>
      </c>
    </row>
    <row r="280" spans="1:58" x14ac:dyDescent="0.2">
      <c r="A280" s="91">
        <v>46312</v>
      </c>
      <c r="C280" s="37">
        <v>11.19</v>
      </c>
      <c r="D280" s="13" t="s">
        <v>205</v>
      </c>
      <c r="E280" s="13" t="s">
        <v>142</v>
      </c>
      <c r="H280" t="s">
        <v>140</v>
      </c>
      <c r="I280" s="13">
        <v>9</v>
      </c>
      <c r="J280" s="13">
        <v>5</v>
      </c>
      <c r="K280" t="s">
        <v>511</v>
      </c>
      <c r="L280" s="37">
        <v>0.5</v>
      </c>
      <c r="M280" s="37">
        <v>8.4</v>
      </c>
      <c r="N280" s="37">
        <v>14</v>
      </c>
      <c r="O280" s="37" t="s">
        <v>17</v>
      </c>
      <c r="Q280" s="13" t="s">
        <v>4</v>
      </c>
      <c r="R280" s="37">
        <v>12.96</v>
      </c>
      <c r="S280" s="13" t="s">
        <v>136</v>
      </c>
      <c r="T280" s="38" t="str">
        <f t="shared" si="534"/>
        <v>0.00</v>
      </c>
      <c r="U280" s="38">
        <f t="shared" ref="U280" si="752">BE280</f>
        <v>-0.5</v>
      </c>
      <c r="V280" s="38">
        <f t="shared" ref="V280" si="753">V279+U280</f>
        <v>10.630480000000013</v>
      </c>
      <c r="W280" s="38">
        <f t="shared" ref="W280" si="754">W279+L280</f>
        <v>133.00000000000006</v>
      </c>
      <c r="X280" s="39">
        <f t="shared" ref="X280" si="755">SUM(V280/W280)</f>
        <v>7.9928421052631635E-2</v>
      </c>
      <c r="Y280" s="40">
        <f t="shared" ref="Y280" si="756">V280/100</f>
        <v>0.10630480000000013</v>
      </c>
      <c r="Z280" s="41">
        <f t="shared" ref="Z280" si="757">V280*100</f>
        <v>1063.0480000000014</v>
      </c>
      <c r="AA280" s="13" t="s">
        <v>57</v>
      </c>
      <c r="AT280" s="37">
        <v>10.3</v>
      </c>
      <c r="AU280" s="37">
        <v>9.5</v>
      </c>
      <c r="AV280" s="10">
        <f t="shared" si="636"/>
        <v>6.5</v>
      </c>
      <c r="AW280" s="10">
        <f t="shared" ref="AW280" si="758">0.92*(N280-1)+1</f>
        <v>12.96</v>
      </c>
      <c r="AZ280" t="str">
        <f t="shared" ref="AZ280" si="759">IF(N280&gt;=M280,"Yes","No")</f>
        <v>Yes</v>
      </c>
      <c r="BB280" s="37">
        <f t="shared" ref="BB280" si="760">IF(AA280="W",
   L280*(N280-1),
   -L280
)</f>
        <v>-0.5</v>
      </c>
      <c r="BC280" s="37">
        <f t="shared" si="590"/>
        <v>-0.5</v>
      </c>
      <c r="BD280" s="37">
        <f t="shared" ref="BD280" si="761">IF(BC280&gt;0, BC280*0.92, BC280)</f>
        <v>-0.5</v>
      </c>
      <c r="BE280" s="37">
        <f t="shared" ref="BE280" si="762">IF(
  BC280&gt;0,
  IF(
    AA280="W",
    BB280 - (BC280 - BD280),
    BB280
  ),
  BB280
)</f>
        <v>-0.5</v>
      </c>
      <c r="BF280" s="13" cm="1">
        <f t="array" ref="BF280">SUMPRODUCT((1/COUNTIFS($A$3:$A280,$A$3:$A280,$H$3:$H280,$H$3:$H280,$I$3:$I280,$I$3:$I280)))</f>
        <v>138.99999999999997</v>
      </c>
    </row>
    <row r="281" spans="1:58" x14ac:dyDescent="0.2">
      <c r="A281" s="91">
        <v>46312</v>
      </c>
      <c r="C281" s="37">
        <v>11.19</v>
      </c>
      <c r="D281" s="13" t="s">
        <v>205</v>
      </c>
      <c r="E281" s="13" t="s">
        <v>142</v>
      </c>
      <c r="H281" t="s">
        <v>140</v>
      </c>
      <c r="I281" s="13">
        <v>10</v>
      </c>
      <c r="J281" s="13">
        <v>2</v>
      </c>
      <c r="K281" s="92" t="s">
        <v>514</v>
      </c>
      <c r="L281" s="37">
        <v>0.5</v>
      </c>
      <c r="M281" s="37">
        <v>14.5</v>
      </c>
      <c r="N281" s="37">
        <v>26.54</v>
      </c>
      <c r="O281" s="37" t="s">
        <v>17</v>
      </c>
      <c r="Q281" s="13" t="s">
        <v>4</v>
      </c>
      <c r="R281" s="37">
        <v>24.4968</v>
      </c>
      <c r="S281" s="13">
        <v>3</v>
      </c>
      <c r="T281" s="38" t="str">
        <f t="shared" si="534"/>
        <v>0.00</v>
      </c>
      <c r="U281" s="38">
        <f t="shared" ref="U281:U282" si="763">BE281</f>
        <v>-0.5</v>
      </c>
      <c r="V281" s="38">
        <f t="shared" ref="V281:V282" si="764">V280+U281</f>
        <v>10.130480000000013</v>
      </c>
      <c r="W281" s="38">
        <f t="shared" ref="W281:W282" si="765">W280+L281</f>
        <v>133.50000000000006</v>
      </c>
      <c r="X281" s="39">
        <f t="shared" ref="X281:X282" si="766">SUM(V281/W281)</f>
        <v>7.5883745318352125E-2</v>
      </c>
      <c r="Y281" s="40">
        <f t="shared" ref="Y281:Y282" si="767">V281/100</f>
        <v>0.10130480000000013</v>
      </c>
      <c r="Z281" s="41">
        <f t="shared" ref="Z281:Z282" si="768">V281*100</f>
        <v>1013.0480000000013</v>
      </c>
      <c r="AA281" s="13" t="s">
        <v>57</v>
      </c>
      <c r="AT281" s="37">
        <v>17.600000000000001</v>
      </c>
      <c r="AU281" s="37">
        <v>16</v>
      </c>
      <c r="AV281" s="10">
        <f t="shared" si="636"/>
        <v>12.77</v>
      </c>
      <c r="AW281" s="10">
        <f t="shared" ref="AW281:AW282" si="769">0.92*(N281-1)+1</f>
        <v>24.4968</v>
      </c>
      <c r="AZ281" t="str">
        <f t="shared" ref="AZ281:AZ282" si="770">IF(N281&gt;=M281,"Yes","No")</f>
        <v>Yes</v>
      </c>
      <c r="BB281" s="37">
        <f t="shared" ref="BB281:BB282" si="771">IF(AA281="W",
   L281*(N281-1),
   -L281
)</f>
        <v>-0.5</v>
      </c>
      <c r="BC281" s="37">
        <f t="shared" si="590"/>
        <v>-1</v>
      </c>
      <c r="BD281" s="37">
        <f t="shared" ref="BD281:BD282" si="772">IF(BC281&gt;0, BC281*0.92, BC281)</f>
        <v>-1</v>
      </c>
      <c r="BE281" s="37">
        <f t="shared" ref="BE281:BE282" si="773">IF(
  BC281&gt;0,
  IF(
    AA281="W",
    BB281 - (BC281 - BD281),
    BB281
  ),
  BB281
)</f>
        <v>-0.5</v>
      </c>
      <c r="BF281" s="13" cm="1">
        <f t="array" ref="BF281">SUMPRODUCT((1/COUNTIFS($A$3:$A281,$A$3:$A281,$H$3:$H281,$H$3:$H281,$I$3:$I281,$I$3:$I281)))</f>
        <v>139.99999999999997</v>
      </c>
    </row>
    <row r="282" spans="1:58" x14ac:dyDescent="0.2">
      <c r="A282" s="91">
        <v>46312</v>
      </c>
      <c r="C282" s="37">
        <v>11.19</v>
      </c>
      <c r="D282" s="13" t="s">
        <v>205</v>
      </c>
      <c r="E282" s="13" t="s">
        <v>142</v>
      </c>
      <c r="H282" t="s">
        <v>140</v>
      </c>
      <c r="I282" s="13">
        <v>10</v>
      </c>
      <c r="J282" s="13">
        <v>3</v>
      </c>
      <c r="K282" t="s">
        <v>515</v>
      </c>
      <c r="L282" s="37">
        <v>0.5</v>
      </c>
      <c r="M282" s="37">
        <v>8.1999999999999993</v>
      </c>
      <c r="N282" s="37">
        <v>9.1999999999999993</v>
      </c>
      <c r="O282" s="37" t="s">
        <v>17</v>
      </c>
      <c r="Q282" s="13" t="s">
        <v>4</v>
      </c>
      <c r="R282" s="37">
        <v>8.5440000000000005</v>
      </c>
      <c r="S282" s="13" t="s">
        <v>136</v>
      </c>
      <c r="T282" s="38" t="str">
        <f t="shared" si="534"/>
        <v>0.00</v>
      </c>
      <c r="U282" s="38">
        <f t="shared" si="763"/>
        <v>-0.5</v>
      </c>
      <c r="V282" s="38">
        <f t="shared" si="764"/>
        <v>9.6304800000000128</v>
      </c>
      <c r="W282" s="38">
        <f t="shared" si="765"/>
        <v>134.00000000000006</v>
      </c>
      <c r="X282" s="39">
        <f t="shared" si="766"/>
        <v>7.1869253731343355E-2</v>
      </c>
      <c r="Y282" s="40">
        <f t="shared" si="767"/>
        <v>9.6304800000000135E-2</v>
      </c>
      <c r="Z282" s="41">
        <f t="shared" si="768"/>
        <v>963.04800000000125</v>
      </c>
      <c r="AA282" s="13" t="s">
        <v>57</v>
      </c>
      <c r="AT282" s="37">
        <v>7.3</v>
      </c>
      <c r="AU282" s="37">
        <v>6.5</v>
      </c>
      <c r="AV282" s="10">
        <f t="shared" si="636"/>
        <v>4.0999999999999996</v>
      </c>
      <c r="AW282" s="10">
        <f t="shared" si="769"/>
        <v>8.5440000000000005</v>
      </c>
      <c r="AZ282" t="str">
        <f t="shared" si="770"/>
        <v>Yes</v>
      </c>
      <c r="BB282" s="37">
        <f t="shared" si="771"/>
        <v>-0.5</v>
      </c>
      <c r="BC282" s="37">
        <f t="shared" si="590"/>
        <v>-1</v>
      </c>
      <c r="BD282" s="37">
        <f t="shared" si="772"/>
        <v>-1</v>
      </c>
      <c r="BE282" s="37">
        <f t="shared" si="773"/>
        <v>-0.5</v>
      </c>
      <c r="BF282" s="13" cm="1">
        <f t="array" ref="BF282">SUMPRODUCT((1/COUNTIFS($A$3:$A282,$A$3:$A282,$H$3:$H282,$H$3:$H282,$I$3:$I282,$I$3:$I282)))</f>
        <v>139.99999999999997</v>
      </c>
    </row>
    <row r="283" spans="1:58" x14ac:dyDescent="0.2">
      <c r="A283" s="91">
        <v>46316</v>
      </c>
      <c r="C283" s="37">
        <v>12.02</v>
      </c>
      <c r="D283" s="13" t="s">
        <v>133</v>
      </c>
      <c r="E283" s="13" t="s">
        <v>134</v>
      </c>
      <c r="H283" t="s">
        <v>135</v>
      </c>
      <c r="I283" s="13">
        <v>5</v>
      </c>
      <c r="J283" s="13">
        <v>1</v>
      </c>
      <c r="K283" t="s">
        <v>438</v>
      </c>
      <c r="L283" s="37">
        <v>0.5</v>
      </c>
      <c r="M283" s="37">
        <v>17.5</v>
      </c>
      <c r="N283" s="37">
        <v>17.5</v>
      </c>
      <c r="O283" s="37" t="s">
        <v>17</v>
      </c>
      <c r="Q283" s="13" t="s">
        <v>4</v>
      </c>
      <c r="R283" s="37">
        <v>16.18</v>
      </c>
      <c r="S283" s="13" t="s">
        <v>136</v>
      </c>
      <c r="T283" s="38" t="str">
        <f t="shared" si="534"/>
        <v>0.00</v>
      </c>
      <c r="U283" s="38">
        <f t="shared" ref="U283:U286" si="774">BE283</f>
        <v>-0.5</v>
      </c>
      <c r="V283" s="38">
        <f t="shared" ref="V283:V286" si="775">V282+U283</f>
        <v>9.1304800000000128</v>
      </c>
      <c r="W283" s="38">
        <f t="shared" ref="W283:W286" si="776">W282+L283</f>
        <v>134.50000000000006</v>
      </c>
      <c r="X283" s="39">
        <f t="shared" ref="X283:X286" si="777">SUM(V283/W283)</f>
        <v>6.7884609665427573E-2</v>
      </c>
      <c r="Y283" s="40">
        <f t="shared" ref="Y283:Y286" si="778">V283/100</f>
        <v>9.130480000000013E-2</v>
      </c>
      <c r="Z283" s="41">
        <f t="shared" ref="Z283:Z286" si="779">V283*100</f>
        <v>913.04800000000125</v>
      </c>
      <c r="AA283" s="13" t="s">
        <v>57</v>
      </c>
      <c r="AT283" s="37">
        <v>15.3</v>
      </c>
      <c r="AU283" s="37">
        <v>15</v>
      </c>
      <c r="AV283" s="10">
        <f t="shared" si="636"/>
        <v>8.25</v>
      </c>
      <c r="AW283" s="10">
        <f t="shared" ref="AW283:AW288" si="780">0.92*(N283-1)+1</f>
        <v>16.18</v>
      </c>
      <c r="AZ283" t="str">
        <f t="shared" ref="AZ283:AZ288" si="781">IF(N283&gt;=M283,"Yes","No")</f>
        <v>Yes</v>
      </c>
      <c r="BB283" s="37">
        <f t="shared" ref="BB283:BB286" si="782">IF(AA283="W",
   L283*(N283-1),
   -L283
)</f>
        <v>-0.5</v>
      </c>
      <c r="BC283" s="37">
        <f t="shared" si="590"/>
        <v>-1</v>
      </c>
      <c r="BD283" s="37">
        <f t="shared" ref="BD283:BD286" si="783">IF(BC283&gt;0, BC283*0.92, BC283)</f>
        <v>-1</v>
      </c>
      <c r="BE283" s="37">
        <f t="shared" ref="BE283:BE286" si="784">IF(
  BC283&gt;0,
  IF(
    AA283="W",
    BB283 - (BC283 - BD283),
    BB283
  ),
  BB283
)</f>
        <v>-0.5</v>
      </c>
      <c r="BF283" s="13" cm="1">
        <f t="array" ref="BF283">SUMPRODUCT((1/COUNTIFS($A$3:$A283,$A$3:$A283,$H$3:$H283,$H$3:$H283,$I$3:$I283,$I$3:$I283)))</f>
        <v>140.99999999999997</v>
      </c>
    </row>
    <row r="284" spans="1:58" x14ac:dyDescent="0.2">
      <c r="A284" s="91">
        <v>46316</v>
      </c>
      <c r="C284" s="37">
        <v>12.02</v>
      </c>
      <c r="D284" s="13" t="s">
        <v>133</v>
      </c>
      <c r="E284" s="13" t="s">
        <v>134</v>
      </c>
      <c r="H284" t="s">
        <v>135</v>
      </c>
      <c r="I284" s="13">
        <v>5</v>
      </c>
      <c r="J284" s="13">
        <v>3</v>
      </c>
      <c r="K284" s="98" t="s">
        <v>417</v>
      </c>
      <c r="L284" s="37">
        <v>0.5</v>
      </c>
      <c r="M284" s="37">
        <v>21</v>
      </c>
      <c r="N284" s="37">
        <v>21</v>
      </c>
      <c r="O284" s="37" t="s">
        <v>17</v>
      </c>
      <c r="Q284" s="13" t="s">
        <v>4</v>
      </c>
      <c r="R284" s="37">
        <v>19.400000000000002</v>
      </c>
      <c r="S284" s="13">
        <v>4</v>
      </c>
      <c r="T284" s="38" t="str">
        <f t="shared" ref="T284:T316" si="785">IF(($AA284="W"),ROUND(($L284*$R284),2),"0.00")</f>
        <v>0.00</v>
      </c>
      <c r="U284" s="38">
        <f t="shared" si="774"/>
        <v>-0.5</v>
      </c>
      <c r="V284" s="38">
        <f t="shared" si="775"/>
        <v>8.6304800000000128</v>
      </c>
      <c r="W284" s="38">
        <f t="shared" si="776"/>
        <v>135.00000000000006</v>
      </c>
      <c r="X284" s="39">
        <f t="shared" si="777"/>
        <v>6.3929481481481545E-2</v>
      </c>
      <c r="Y284" s="40">
        <f t="shared" si="778"/>
        <v>8.6304800000000126E-2</v>
      </c>
      <c r="Z284" s="41">
        <f t="shared" si="779"/>
        <v>863.04800000000125</v>
      </c>
      <c r="AA284" s="13" t="s">
        <v>57</v>
      </c>
      <c r="AT284" s="37">
        <v>16</v>
      </c>
      <c r="AU284" s="37">
        <v>17</v>
      </c>
      <c r="AV284" s="10">
        <f t="shared" si="636"/>
        <v>10</v>
      </c>
      <c r="AW284" s="10">
        <f t="shared" si="780"/>
        <v>19.400000000000002</v>
      </c>
      <c r="AZ284" t="str">
        <f t="shared" si="781"/>
        <v>Yes</v>
      </c>
      <c r="BB284" s="37">
        <f t="shared" si="782"/>
        <v>-0.5</v>
      </c>
      <c r="BC284" s="37">
        <f t="shared" si="590"/>
        <v>-1</v>
      </c>
      <c r="BD284" s="37">
        <f t="shared" si="783"/>
        <v>-1</v>
      </c>
      <c r="BE284" s="37">
        <f t="shared" si="784"/>
        <v>-0.5</v>
      </c>
      <c r="BF284" s="13" cm="1">
        <f t="array" ref="BF284">SUMPRODUCT((1/COUNTIFS($A$3:$A284,$A$3:$A284,$H$3:$H284,$H$3:$H284,$I$3:$I284,$I$3:$I284)))</f>
        <v>140.99999999999997</v>
      </c>
    </row>
    <row r="285" spans="1:58" x14ac:dyDescent="0.2">
      <c r="A285" s="91">
        <v>46316</v>
      </c>
      <c r="C285" s="37">
        <v>12.02</v>
      </c>
      <c r="D285" s="13" t="s">
        <v>133</v>
      </c>
      <c r="E285" s="13" t="s">
        <v>134</v>
      </c>
      <c r="H285" t="s">
        <v>135</v>
      </c>
      <c r="I285" s="13">
        <v>7</v>
      </c>
      <c r="J285" s="13">
        <v>1</v>
      </c>
      <c r="K285" t="s">
        <v>519</v>
      </c>
      <c r="L285" s="37">
        <v>0.5</v>
      </c>
      <c r="M285" s="37">
        <v>14.5</v>
      </c>
      <c r="N285" s="37">
        <v>15.8</v>
      </c>
      <c r="O285" s="37" t="s">
        <v>17</v>
      </c>
      <c r="Q285" s="13" t="s">
        <v>4</v>
      </c>
      <c r="R285" s="37">
        <v>14.616000000000001</v>
      </c>
      <c r="S285" s="13" t="s">
        <v>136</v>
      </c>
      <c r="T285" s="38" t="str">
        <f t="shared" si="785"/>
        <v>0.00</v>
      </c>
      <c r="U285" s="38">
        <f t="shared" si="774"/>
        <v>-0.5</v>
      </c>
      <c r="V285" s="38">
        <f t="shared" si="775"/>
        <v>8.1304800000000128</v>
      </c>
      <c r="W285" s="38">
        <f t="shared" si="776"/>
        <v>135.50000000000006</v>
      </c>
      <c r="X285" s="39">
        <f t="shared" si="777"/>
        <v>6.0003542435424426E-2</v>
      </c>
      <c r="Y285" s="40">
        <f t="shared" si="778"/>
        <v>8.1304800000000121E-2</v>
      </c>
      <c r="Z285" s="41">
        <f t="shared" si="779"/>
        <v>813.04800000000125</v>
      </c>
      <c r="AA285" s="13" t="s">
        <v>57</v>
      </c>
      <c r="AT285" s="37">
        <v>15.6</v>
      </c>
      <c r="AU285" s="37">
        <v>15</v>
      </c>
      <c r="AV285" s="10">
        <f t="shared" si="636"/>
        <v>7.4</v>
      </c>
      <c r="AW285" s="10">
        <f t="shared" si="780"/>
        <v>14.616000000000001</v>
      </c>
      <c r="AZ285" t="str">
        <f t="shared" si="781"/>
        <v>Yes</v>
      </c>
      <c r="BB285" s="37">
        <f t="shared" si="782"/>
        <v>-0.5</v>
      </c>
      <c r="BC285" s="37">
        <f t="shared" si="590"/>
        <v>-1</v>
      </c>
      <c r="BD285" s="37">
        <f t="shared" si="783"/>
        <v>-1</v>
      </c>
      <c r="BE285" s="37">
        <f t="shared" si="784"/>
        <v>-0.5</v>
      </c>
      <c r="BF285" s="13" cm="1">
        <f t="array" ref="BF285">SUMPRODUCT((1/COUNTIFS($A$3:$A285,$A$3:$A285,$H$3:$H285,$H$3:$H285,$I$3:$I285,$I$3:$I285)))</f>
        <v>141.99999999999997</v>
      </c>
    </row>
    <row r="286" spans="1:58" x14ac:dyDescent="0.2">
      <c r="A286" s="91">
        <v>46316</v>
      </c>
      <c r="C286" s="37">
        <v>12.02</v>
      </c>
      <c r="D286" s="13" t="s">
        <v>133</v>
      </c>
      <c r="E286" s="13" t="s">
        <v>134</v>
      </c>
      <c r="H286" t="s">
        <v>135</v>
      </c>
      <c r="I286" s="13">
        <v>7</v>
      </c>
      <c r="J286" s="13">
        <v>7</v>
      </c>
      <c r="K286" t="s">
        <v>521</v>
      </c>
      <c r="L286" s="37">
        <v>0.5</v>
      </c>
      <c r="M286" s="37">
        <v>27</v>
      </c>
      <c r="N286" s="37">
        <v>28.96</v>
      </c>
      <c r="O286" s="37" t="s">
        <v>17</v>
      </c>
      <c r="Q286" s="13" t="s">
        <v>4</v>
      </c>
      <c r="R286" s="37">
        <v>26.723200000000002</v>
      </c>
      <c r="S286" s="13" t="s">
        <v>136</v>
      </c>
      <c r="T286" s="38" t="str">
        <f t="shared" si="785"/>
        <v>0.00</v>
      </c>
      <c r="U286" s="38">
        <f t="shared" si="774"/>
        <v>-0.5</v>
      </c>
      <c r="V286" s="38">
        <f t="shared" si="775"/>
        <v>7.6304800000000128</v>
      </c>
      <c r="W286" s="38">
        <f t="shared" si="776"/>
        <v>136.00000000000006</v>
      </c>
      <c r="X286" s="39">
        <f t="shared" si="777"/>
        <v>5.6106470588235362E-2</v>
      </c>
      <c r="Y286" s="40">
        <f t="shared" si="778"/>
        <v>7.6304800000000131E-2</v>
      </c>
      <c r="Z286" s="41">
        <f t="shared" si="779"/>
        <v>763.04800000000125</v>
      </c>
      <c r="AA286" s="13" t="s">
        <v>57</v>
      </c>
      <c r="AT286" s="37">
        <v>32.1</v>
      </c>
      <c r="AU286" s="37">
        <v>32.1</v>
      </c>
      <c r="AV286" s="10">
        <f t="shared" si="636"/>
        <v>13.98</v>
      </c>
      <c r="AW286" s="10">
        <f t="shared" si="780"/>
        <v>26.723200000000002</v>
      </c>
      <c r="AZ286" t="str">
        <f t="shared" si="781"/>
        <v>Yes</v>
      </c>
      <c r="BB286" s="37">
        <f t="shared" si="782"/>
        <v>-0.5</v>
      </c>
      <c r="BC286" s="37">
        <f t="shared" si="590"/>
        <v>-1</v>
      </c>
      <c r="BD286" s="37">
        <f t="shared" si="783"/>
        <v>-1</v>
      </c>
      <c r="BE286" s="37">
        <f t="shared" si="784"/>
        <v>-0.5</v>
      </c>
      <c r="BF286" s="13" cm="1">
        <f t="array" ref="BF286">SUMPRODUCT((1/COUNTIFS($A$3:$A286,$A$3:$A286,$H$3:$H286,$H$3:$H286,$I$3:$I286,$I$3:$I286)))</f>
        <v>141.99999999999997</v>
      </c>
    </row>
    <row r="287" spans="1:58" x14ac:dyDescent="0.2">
      <c r="A287" s="91">
        <v>46319</v>
      </c>
      <c r="C287" s="37">
        <v>10.32</v>
      </c>
      <c r="D287" s="13" t="s">
        <v>205</v>
      </c>
      <c r="E287" s="13" t="s">
        <v>134</v>
      </c>
      <c r="H287" t="s">
        <v>138</v>
      </c>
      <c r="I287" s="13">
        <v>3</v>
      </c>
      <c r="J287" s="13">
        <v>7</v>
      </c>
      <c r="K287" t="s">
        <v>522</v>
      </c>
      <c r="L287" s="37">
        <v>0.5</v>
      </c>
      <c r="M287" s="37">
        <v>12</v>
      </c>
      <c r="N287" s="37">
        <v>12</v>
      </c>
      <c r="O287" s="37" t="s">
        <v>17</v>
      </c>
      <c r="Q287" s="13" t="s">
        <v>4</v>
      </c>
      <c r="R287" s="37">
        <v>11.120000000000001</v>
      </c>
      <c r="S287" s="13" t="s">
        <v>136</v>
      </c>
      <c r="T287" s="38" t="str">
        <f t="shared" si="785"/>
        <v>0.00</v>
      </c>
      <c r="U287" s="38">
        <f t="shared" ref="U287:U288" si="786">BE287</f>
        <v>-0.5</v>
      </c>
      <c r="V287" s="38">
        <f t="shared" ref="V287:V288" si="787">V286+U287</f>
        <v>7.1304800000000128</v>
      </c>
      <c r="W287" s="38">
        <f t="shared" ref="W287:W288" si="788">W286+L287</f>
        <v>136.50000000000006</v>
      </c>
      <c r="X287" s="39">
        <f t="shared" ref="X287:X288" si="789">SUM(V287/W287)</f>
        <v>5.223794871794879E-2</v>
      </c>
      <c r="Y287" s="40">
        <f t="shared" ref="Y287:Y288" si="790">V287/100</f>
        <v>7.1304800000000126E-2</v>
      </c>
      <c r="Z287" s="41">
        <f t="shared" ref="Z287:Z288" si="791">V287*100</f>
        <v>713.04800000000125</v>
      </c>
      <c r="AA287" s="13" t="s">
        <v>57</v>
      </c>
      <c r="AT287" s="37">
        <v>11.2</v>
      </c>
      <c r="AU287" s="37">
        <v>10</v>
      </c>
      <c r="AV287" s="10">
        <f t="shared" si="636"/>
        <v>5.5</v>
      </c>
      <c r="AW287" s="10">
        <f t="shared" si="780"/>
        <v>11.120000000000001</v>
      </c>
      <c r="AZ287" t="str">
        <f t="shared" si="781"/>
        <v>Yes</v>
      </c>
      <c r="BB287" s="37">
        <f t="shared" ref="BB287:BB288" si="792">IF(AA287="W",
   L287*(N287-1),
   -L287
)</f>
        <v>-0.5</v>
      </c>
      <c r="BC287" s="37">
        <f t="shared" si="590"/>
        <v>-1</v>
      </c>
      <c r="BD287" s="37">
        <f t="shared" ref="BD287:BD288" si="793">IF(BC287&gt;0, BC287*0.92, BC287)</f>
        <v>-1</v>
      </c>
      <c r="BE287" s="37">
        <f t="shared" ref="BE287:BE288" si="794">IF(
  BC287&gt;0,
  IF(
    AA287="W",
    BB287 - (BC287 - BD287),
    BB287
  ),
  BB287
)</f>
        <v>-0.5</v>
      </c>
      <c r="BF287" s="13" cm="1">
        <f t="array" ref="BF287">SUMPRODUCT((1/COUNTIFS($A$3:$A287,$A$3:$A287,$H$3:$H287,$H$3:$H287,$I$3:$I287,$I$3:$I287)))</f>
        <v>142.99999999999997</v>
      </c>
    </row>
    <row r="288" spans="1:58" x14ac:dyDescent="0.2">
      <c r="A288" s="91">
        <v>46319</v>
      </c>
      <c r="C288" s="37">
        <v>10.32</v>
      </c>
      <c r="D288" s="13" t="s">
        <v>205</v>
      </c>
      <c r="E288" s="13" t="s">
        <v>134</v>
      </c>
      <c r="H288" t="s">
        <v>138</v>
      </c>
      <c r="I288" s="13">
        <v>3</v>
      </c>
      <c r="J288" s="13">
        <v>12</v>
      </c>
      <c r="K288" t="s">
        <v>523</v>
      </c>
      <c r="L288" s="37">
        <v>0.5</v>
      </c>
      <c r="M288" s="37">
        <v>18.5</v>
      </c>
      <c r="N288" s="37">
        <v>20.399999999999999</v>
      </c>
      <c r="O288" s="37" t="s">
        <v>17</v>
      </c>
      <c r="Q288" s="13" t="s">
        <v>4</v>
      </c>
      <c r="R288" s="37">
        <v>18.847999999999999</v>
      </c>
      <c r="S288" s="13" t="s">
        <v>136</v>
      </c>
      <c r="T288" s="38" t="str">
        <f t="shared" si="785"/>
        <v>0.00</v>
      </c>
      <c r="U288" s="38">
        <f t="shared" si="786"/>
        <v>-0.5</v>
      </c>
      <c r="V288" s="38">
        <f t="shared" si="787"/>
        <v>6.6304800000000128</v>
      </c>
      <c r="W288" s="38">
        <f t="shared" si="788"/>
        <v>137.00000000000006</v>
      </c>
      <c r="X288" s="39">
        <f t="shared" si="789"/>
        <v>4.8397664233576713E-2</v>
      </c>
      <c r="Y288" s="40">
        <f t="shared" si="790"/>
        <v>6.6304800000000122E-2</v>
      </c>
      <c r="Z288" s="41">
        <f t="shared" si="791"/>
        <v>663.04800000000125</v>
      </c>
      <c r="AA288" s="13" t="s">
        <v>57</v>
      </c>
      <c r="AT288" s="37">
        <v>14</v>
      </c>
      <c r="AU288" s="37">
        <v>14</v>
      </c>
      <c r="AV288" s="10">
        <f t="shared" si="636"/>
        <v>9.6999999999999993</v>
      </c>
      <c r="AW288" s="10">
        <f t="shared" si="780"/>
        <v>18.847999999999999</v>
      </c>
      <c r="AZ288" t="str">
        <f t="shared" si="781"/>
        <v>Yes</v>
      </c>
      <c r="BB288" s="37">
        <f t="shared" si="792"/>
        <v>-0.5</v>
      </c>
      <c r="BC288" s="37">
        <f t="shared" si="590"/>
        <v>-1</v>
      </c>
      <c r="BD288" s="37">
        <f t="shared" si="793"/>
        <v>-1</v>
      </c>
      <c r="BE288" s="37">
        <f t="shared" si="794"/>
        <v>-0.5</v>
      </c>
      <c r="BF288" s="13" cm="1">
        <f t="array" ref="BF288">SUMPRODUCT((1/COUNTIFS($A$3:$A288,$A$3:$A288,$H$3:$H288,$H$3:$H288,$I$3:$I288,$I$3:$I288)))</f>
        <v>142.99999999999997</v>
      </c>
    </row>
    <row r="289" spans="1:58" x14ac:dyDescent="0.2">
      <c r="A289" s="91">
        <v>46319</v>
      </c>
      <c r="C289" s="37">
        <v>10.32</v>
      </c>
      <c r="D289" s="13" t="s">
        <v>205</v>
      </c>
      <c r="E289" s="13" t="s">
        <v>134</v>
      </c>
      <c r="H289" t="s">
        <v>138</v>
      </c>
      <c r="I289" s="13">
        <v>8</v>
      </c>
      <c r="J289" s="13">
        <v>6</v>
      </c>
      <c r="K289" t="s">
        <v>524</v>
      </c>
      <c r="L289" s="37">
        <v>0.5</v>
      </c>
      <c r="M289" s="37">
        <v>20</v>
      </c>
      <c r="N289" s="37">
        <v>38.97</v>
      </c>
      <c r="O289" s="37" t="s">
        <v>17</v>
      </c>
      <c r="Q289" s="13" t="s">
        <v>4</v>
      </c>
      <c r="R289" s="37">
        <v>35.932400000000001</v>
      </c>
      <c r="S289" s="13" t="s">
        <v>136</v>
      </c>
      <c r="T289" s="38" t="str">
        <f t="shared" si="785"/>
        <v>0.00</v>
      </c>
      <c r="U289" s="38">
        <f t="shared" ref="U289" si="795">BE289</f>
        <v>-0.5</v>
      </c>
      <c r="V289" s="38">
        <f t="shared" ref="V289" si="796">V288+U289</f>
        <v>6.1304800000000128</v>
      </c>
      <c r="W289" s="38">
        <f t="shared" ref="W289" si="797">W288+L289</f>
        <v>137.50000000000006</v>
      </c>
      <c r="X289" s="39">
        <f t="shared" ref="X289" si="798">SUM(V289/W289)</f>
        <v>4.4585309090909166E-2</v>
      </c>
      <c r="Y289" s="40">
        <f t="shared" ref="Y289" si="799">V289/100</f>
        <v>6.1304800000000131E-2</v>
      </c>
      <c r="Z289" s="41">
        <f t="shared" ref="Z289" si="800">V289*100</f>
        <v>613.04800000000125</v>
      </c>
      <c r="AA289" s="13" t="s">
        <v>57</v>
      </c>
      <c r="AT289" s="37">
        <v>33</v>
      </c>
      <c r="AU289" s="37">
        <v>31</v>
      </c>
      <c r="AV289" s="10">
        <f t="shared" si="636"/>
        <v>18.984999999999999</v>
      </c>
      <c r="AW289" s="10">
        <f t="shared" ref="AW289" si="801">0.92*(N289-1)+1</f>
        <v>35.932400000000001</v>
      </c>
      <c r="AZ289" t="str">
        <f t="shared" ref="AZ289" si="802">IF(N289&gt;=M289,"Yes","No")</f>
        <v>Yes</v>
      </c>
      <c r="BB289" s="37">
        <f t="shared" ref="BB289" si="803">IF(AA289="W",
   L289*(N289-1),
   -L289
)</f>
        <v>-0.5</v>
      </c>
      <c r="BC289" s="37">
        <f t="shared" si="590"/>
        <v>-0.5</v>
      </c>
      <c r="BD289" s="37">
        <f t="shared" ref="BD289" si="804">IF(BC289&gt;0, BC289*0.92, BC289)</f>
        <v>-0.5</v>
      </c>
      <c r="BE289" s="37">
        <f t="shared" ref="BE289" si="805">IF(
  BC289&gt;0,
  IF(
    AA289="W",
    BB289 - (BC289 - BD289),
    BB289
  ),
  BB289
)</f>
        <v>-0.5</v>
      </c>
      <c r="BF289" s="13" cm="1">
        <f t="array" ref="BF289">SUMPRODUCT((1/COUNTIFS($A$3:$A289,$A$3:$A289,$H$3:$H289,$H$3:$H289,$I$3:$I289,$I$3:$I289)))</f>
        <v>143.99999999999997</v>
      </c>
    </row>
    <row r="290" spans="1:58" x14ac:dyDescent="0.2">
      <c r="A290" s="91">
        <v>46323</v>
      </c>
      <c r="C290" s="37">
        <v>11.08</v>
      </c>
      <c r="D290" s="13" t="s">
        <v>133</v>
      </c>
      <c r="E290" s="13" t="s">
        <v>134</v>
      </c>
      <c r="H290" t="s">
        <v>135</v>
      </c>
      <c r="I290" s="13">
        <v>3</v>
      </c>
      <c r="J290" s="13">
        <v>6</v>
      </c>
      <c r="K290" t="s">
        <v>175</v>
      </c>
      <c r="L290" s="37">
        <v>0.5</v>
      </c>
      <c r="M290" s="37">
        <v>30</v>
      </c>
      <c r="N290" s="37">
        <v>30</v>
      </c>
      <c r="O290" s="37" t="s">
        <v>17</v>
      </c>
      <c r="Q290" s="13" t="s">
        <v>4</v>
      </c>
      <c r="R290" s="37">
        <v>27.68</v>
      </c>
      <c r="S290" s="13" t="s">
        <v>136</v>
      </c>
      <c r="T290" s="38" t="str">
        <f t="shared" si="785"/>
        <v>0.00</v>
      </c>
      <c r="U290" s="38">
        <f t="shared" ref="U290:U294" si="806">BE290</f>
        <v>-0.5</v>
      </c>
      <c r="V290" s="38">
        <f t="shared" ref="V290:V294" si="807">V289+U290</f>
        <v>5.6304800000000128</v>
      </c>
      <c r="W290" s="38">
        <f t="shared" ref="W290:W294" si="808">W289+L290</f>
        <v>138.00000000000006</v>
      </c>
      <c r="X290" s="39">
        <f t="shared" ref="X290:X294" si="809">SUM(V290/W290)</f>
        <v>4.0800579710145002E-2</v>
      </c>
      <c r="Y290" s="40">
        <f t="shared" ref="Y290:Y294" si="810">V290/100</f>
        <v>5.6304800000000127E-2</v>
      </c>
      <c r="Z290" s="41">
        <f t="shared" ref="Z290:Z294" si="811">V290*100</f>
        <v>563.04800000000125</v>
      </c>
      <c r="AA290" s="13" t="s">
        <v>57</v>
      </c>
      <c r="AT290" s="37">
        <v>28.1</v>
      </c>
      <c r="AU290" s="37">
        <v>26</v>
      </c>
      <c r="AV290" s="10">
        <f t="shared" ref="AV290:AV294" si="812">((N290*(L290))-(L290))</f>
        <v>14.5</v>
      </c>
      <c r="AW290" s="10">
        <f t="shared" ref="AW290:AW294" si="813">0.92*(N290-1)+1</f>
        <v>27.68</v>
      </c>
      <c r="AZ290" t="str">
        <f t="shared" ref="AZ290:AZ294" si="814">IF(N290&gt;=M290,"Yes","No")</f>
        <v>Yes</v>
      </c>
      <c r="BB290" s="37">
        <f t="shared" ref="BB290:BB294" si="815">IF(AA290="W",
   L290*(N290-1),
   -L290
)</f>
        <v>-0.5</v>
      </c>
      <c r="BC290" s="37">
        <f t="shared" si="590"/>
        <v>-0.5</v>
      </c>
      <c r="BD290" s="37">
        <f t="shared" ref="BD290:BD294" si="816">IF(BC290&gt;0, BC290*0.92, BC290)</f>
        <v>-0.5</v>
      </c>
      <c r="BE290" s="37">
        <f t="shared" ref="BE290:BE294" si="817">IF(
  BC290&gt;0,
  IF(
    AA290="W",
    BB290 - (BC290 - BD290),
    BB290
  ),
  BB290
)</f>
        <v>-0.5</v>
      </c>
      <c r="BF290" s="13" cm="1">
        <f t="array" ref="BF290">SUMPRODUCT((1/COUNTIFS($A$3:$A290,$A$3:$A290,$H$3:$H290,$H$3:$H290,$I$3:$I290,$I$3:$I290)))</f>
        <v>144.99999999999997</v>
      </c>
    </row>
    <row r="291" spans="1:58" x14ac:dyDescent="0.2">
      <c r="A291" s="91">
        <v>46323</v>
      </c>
      <c r="C291" s="37">
        <v>11.08</v>
      </c>
      <c r="D291" s="13" t="s">
        <v>133</v>
      </c>
      <c r="E291" s="13" t="s">
        <v>134</v>
      </c>
      <c r="H291" t="s">
        <v>135</v>
      </c>
      <c r="I291" s="13">
        <v>4</v>
      </c>
      <c r="J291" s="13">
        <v>7</v>
      </c>
      <c r="K291" t="s">
        <v>283</v>
      </c>
      <c r="L291" s="37">
        <v>0.5</v>
      </c>
      <c r="M291" s="37">
        <v>17</v>
      </c>
      <c r="N291" s="37">
        <v>17</v>
      </c>
      <c r="O291" s="37" t="s">
        <v>17</v>
      </c>
      <c r="Q291" s="13" t="s">
        <v>4</v>
      </c>
      <c r="R291" s="37">
        <v>15.72</v>
      </c>
      <c r="S291" s="13" t="s">
        <v>136</v>
      </c>
      <c r="T291" s="38" t="str">
        <f t="shared" si="785"/>
        <v>0.00</v>
      </c>
      <c r="U291" s="38">
        <f t="shared" si="806"/>
        <v>-0.5</v>
      </c>
      <c r="V291" s="38">
        <f t="shared" si="807"/>
        <v>5.1304800000000128</v>
      </c>
      <c r="W291" s="38">
        <f t="shared" si="808"/>
        <v>138.50000000000006</v>
      </c>
      <c r="X291" s="39">
        <f t="shared" si="809"/>
        <v>3.7043176895306937E-2</v>
      </c>
      <c r="Y291" s="40">
        <f t="shared" si="810"/>
        <v>5.1304800000000129E-2</v>
      </c>
      <c r="Z291" s="41">
        <f t="shared" si="811"/>
        <v>513.04800000000125</v>
      </c>
      <c r="AA291" s="13" t="s">
        <v>57</v>
      </c>
      <c r="AT291" s="37">
        <v>17</v>
      </c>
      <c r="AU291" s="37">
        <v>17</v>
      </c>
      <c r="AV291" s="10">
        <f t="shared" si="812"/>
        <v>8</v>
      </c>
      <c r="AW291" s="10">
        <f t="shared" si="813"/>
        <v>15.72</v>
      </c>
      <c r="AZ291" t="str">
        <f t="shared" si="814"/>
        <v>Yes</v>
      </c>
      <c r="BB291" s="37">
        <f t="shared" si="815"/>
        <v>-0.5</v>
      </c>
      <c r="BC291" s="37">
        <f t="shared" si="590"/>
        <v>-0.5</v>
      </c>
      <c r="BD291" s="37">
        <f t="shared" si="816"/>
        <v>-0.5</v>
      </c>
      <c r="BE291" s="37">
        <f t="shared" si="817"/>
        <v>-0.5</v>
      </c>
      <c r="BF291" s="13" cm="1">
        <f t="array" ref="BF291">SUMPRODUCT((1/COUNTIFS($A$3:$A291,$A$3:$A291,$H$3:$H291,$H$3:$H291,$I$3:$I291,$I$3:$I291)))</f>
        <v>145.99999999999997</v>
      </c>
    </row>
    <row r="292" spans="1:58" x14ac:dyDescent="0.2">
      <c r="A292" s="91">
        <v>46323</v>
      </c>
      <c r="C292" s="37">
        <v>11.08</v>
      </c>
      <c r="D292" s="13" t="s">
        <v>133</v>
      </c>
      <c r="E292" s="13" t="s">
        <v>134</v>
      </c>
      <c r="H292" t="s">
        <v>135</v>
      </c>
      <c r="I292" s="13">
        <v>5</v>
      </c>
      <c r="J292" s="13">
        <v>3</v>
      </c>
      <c r="K292" s="98" t="s">
        <v>445</v>
      </c>
      <c r="L292" s="37">
        <v>0.5</v>
      </c>
      <c r="M292" s="37">
        <v>19</v>
      </c>
      <c r="N292" s="37">
        <v>19</v>
      </c>
      <c r="O292" s="37" t="s">
        <v>17</v>
      </c>
      <c r="Q292" s="13" t="s">
        <v>4</v>
      </c>
      <c r="R292" s="37">
        <v>17.560000000000002</v>
      </c>
      <c r="S292" s="13">
        <v>4</v>
      </c>
      <c r="T292" s="38" t="str">
        <f t="shared" si="785"/>
        <v>0.00</v>
      </c>
      <c r="U292" s="38">
        <f t="shared" si="806"/>
        <v>-0.5</v>
      </c>
      <c r="V292" s="38">
        <f t="shared" si="807"/>
        <v>4.6304800000000128</v>
      </c>
      <c r="W292" s="38">
        <f t="shared" si="808"/>
        <v>139.00000000000006</v>
      </c>
      <c r="X292" s="39">
        <f t="shared" si="809"/>
        <v>3.3312805755395761E-2</v>
      </c>
      <c r="Y292" s="40">
        <f t="shared" si="810"/>
        <v>4.6304800000000125E-2</v>
      </c>
      <c r="Z292" s="41">
        <f t="shared" si="811"/>
        <v>463.04800000000125</v>
      </c>
      <c r="AA292" s="13" t="s">
        <v>57</v>
      </c>
      <c r="AT292" s="37">
        <v>16.899999999999999</v>
      </c>
      <c r="AU292" s="37">
        <v>19</v>
      </c>
      <c r="AV292" s="10">
        <f t="shared" si="812"/>
        <v>9</v>
      </c>
      <c r="AW292" s="10">
        <f t="shared" si="813"/>
        <v>17.560000000000002</v>
      </c>
      <c r="AZ292" t="str">
        <f t="shared" si="814"/>
        <v>Yes</v>
      </c>
      <c r="BB292" s="37">
        <f t="shared" si="815"/>
        <v>-0.5</v>
      </c>
      <c r="BC292" s="37">
        <f t="shared" si="590"/>
        <v>-0.5</v>
      </c>
      <c r="BD292" s="37">
        <f t="shared" si="816"/>
        <v>-0.5</v>
      </c>
      <c r="BE292" s="37">
        <f t="shared" si="817"/>
        <v>-0.5</v>
      </c>
      <c r="BF292" s="13" cm="1">
        <f t="array" ref="BF292">SUMPRODUCT((1/COUNTIFS($A$3:$A292,$A$3:$A292,$H$3:$H292,$H$3:$H292,$I$3:$I292,$I$3:$I292)))</f>
        <v>146.99999999999997</v>
      </c>
    </row>
    <row r="293" spans="1:58" x14ac:dyDescent="0.2">
      <c r="A293" s="91">
        <v>46323</v>
      </c>
      <c r="C293" s="37">
        <v>11.08</v>
      </c>
      <c r="D293" s="13" t="s">
        <v>133</v>
      </c>
      <c r="E293" s="13" t="s">
        <v>134</v>
      </c>
      <c r="H293" t="s">
        <v>135</v>
      </c>
      <c r="I293" s="13">
        <v>6</v>
      </c>
      <c r="J293" s="13">
        <v>5</v>
      </c>
      <c r="K293" t="s">
        <v>526</v>
      </c>
      <c r="L293" s="37">
        <v>0.5</v>
      </c>
      <c r="M293" s="37">
        <v>12.5</v>
      </c>
      <c r="N293" s="37">
        <v>13.3</v>
      </c>
      <c r="O293" s="37" t="s">
        <v>17</v>
      </c>
      <c r="Q293" s="13" t="s">
        <v>4</v>
      </c>
      <c r="R293" s="37">
        <v>12.316000000000001</v>
      </c>
      <c r="S293" s="13" t="s">
        <v>136</v>
      </c>
      <c r="T293" s="38" t="str">
        <f t="shared" si="785"/>
        <v>0.00</v>
      </c>
      <c r="U293" s="38">
        <f t="shared" si="806"/>
        <v>-0.5</v>
      </c>
      <c r="V293" s="38">
        <f t="shared" si="807"/>
        <v>4.1304800000000128</v>
      </c>
      <c r="W293" s="38">
        <f t="shared" si="808"/>
        <v>139.50000000000006</v>
      </c>
      <c r="X293" s="39">
        <f t="shared" si="809"/>
        <v>2.9609175627240223E-2</v>
      </c>
      <c r="Y293" s="40">
        <f t="shared" si="810"/>
        <v>4.1304800000000128E-2</v>
      </c>
      <c r="Z293" s="41">
        <f t="shared" si="811"/>
        <v>413.04800000000125</v>
      </c>
      <c r="AA293" s="13" t="s">
        <v>57</v>
      </c>
      <c r="AT293" s="37">
        <v>11.3</v>
      </c>
      <c r="AU293" s="37">
        <v>10</v>
      </c>
      <c r="AV293" s="10">
        <f t="shared" si="812"/>
        <v>6.15</v>
      </c>
      <c r="AW293" s="10">
        <f t="shared" si="813"/>
        <v>12.316000000000001</v>
      </c>
      <c r="AZ293" t="str">
        <f t="shared" si="814"/>
        <v>Yes</v>
      </c>
      <c r="BB293" s="37">
        <f t="shared" si="815"/>
        <v>-0.5</v>
      </c>
      <c r="BC293" s="37">
        <f t="shared" si="590"/>
        <v>-1</v>
      </c>
      <c r="BD293" s="37">
        <f t="shared" si="816"/>
        <v>-1</v>
      </c>
      <c r="BE293" s="37">
        <f t="shared" si="817"/>
        <v>-0.5</v>
      </c>
      <c r="BF293" s="13" cm="1">
        <f t="array" ref="BF293">SUMPRODUCT((1/COUNTIFS($A$3:$A293,$A$3:$A293,$H$3:$H293,$H$3:$H293,$I$3:$I293,$I$3:$I293)))</f>
        <v>147.99999999999997</v>
      </c>
    </row>
    <row r="294" spans="1:58" x14ac:dyDescent="0.2">
      <c r="A294" s="91">
        <v>46323</v>
      </c>
      <c r="C294" s="37">
        <v>11.08</v>
      </c>
      <c r="D294" s="13" t="s">
        <v>133</v>
      </c>
      <c r="E294" s="13" t="s">
        <v>134</v>
      </c>
      <c r="H294" t="s">
        <v>135</v>
      </c>
      <c r="I294" s="13">
        <v>6</v>
      </c>
      <c r="J294" s="13">
        <v>14</v>
      </c>
      <c r="K294" t="s">
        <v>470</v>
      </c>
      <c r="L294" s="37">
        <v>0.5</v>
      </c>
      <c r="M294" s="37">
        <v>27</v>
      </c>
      <c r="N294" s="37">
        <v>27.79</v>
      </c>
      <c r="O294" s="37" t="s">
        <v>17</v>
      </c>
      <c r="Q294" s="13" t="s">
        <v>4</v>
      </c>
      <c r="R294" s="37">
        <v>25.646799999999999</v>
      </c>
      <c r="S294" s="13" t="s">
        <v>136</v>
      </c>
      <c r="T294" s="38" t="str">
        <f t="shared" si="785"/>
        <v>0.00</v>
      </c>
      <c r="U294" s="38">
        <f t="shared" si="806"/>
        <v>-0.5</v>
      </c>
      <c r="V294" s="38">
        <f t="shared" si="807"/>
        <v>3.6304800000000128</v>
      </c>
      <c r="W294" s="38">
        <f t="shared" si="808"/>
        <v>140.00000000000006</v>
      </c>
      <c r="X294" s="39">
        <f t="shared" si="809"/>
        <v>2.593200000000008E-2</v>
      </c>
      <c r="Y294" s="40">
        <f t="shared" si="810"/>
        <v>3.630480000000013E-2</v>
      </c>
      <c r="Z294" s="41">
        <f t="shared" si="811"/>
        <v>363.04800000000125</v>
      </c>
      <c r="AA294" s="13" t="s">
        <v>57</v>
      </c>
      <c r="AT294" s="37">
        <v>40.799999999999997</v>
      </c>
      <c r="AU294" s="37">
        <v>31</v>
      </c>
      <c r="AV294" s="10">
        <f t="shared" si="812"/>
        <v>13.395</v>
      </c>
      <c r="AW294" s="10">
        <f t="shared" si="813"/>
        <v>25.646799999999999</v>
      </c>
      <c r="AZ294" t="str">
        <f t="shared" si="814"/>
        <v>Yes</v>
      </c>
      <c r="BB294" s="37">
        <f t="shared" si="815"/>
        <v>-0.5</v>
      </c>
      <c r="BC294" s="37">
        <f t="shared" si="590"/>
        <v>-1</v>
      </c>
      <c r="BD294" s="37">
        <f t="shared" si="816"/>
        <v>-1</v>
      </c>
      <c r="BE294" s="37">
        <f t="shared" si="817"/>
        <v>-0.5</v>
      </c>
      <c r="BF294" s="13" cm="1">
        <f t="array" ref="BF294">SUMPRODUCT((1/COUNTIFS($A$3:$A294,$A$3:$A294,$H$3:$H294,$H$3:$H294,$I$3:$I294,$I$3:$I294)))</f>
        <v>147.99999999999997</v>
      </c>
    </row>
    <row r="295" spans="1:58" x14ac:dyDescent="0.2">
      <c r="A295" s="91">
        <v>46326</v>
      </c>
      <c r="C295" s="37">
        <v>10.31</v>
      </c>
      <c r="D295" s="13" t="s">
        <v>133</v>
      </c>
      <c r="E295" s="13" t="s">
        <v>134</v>
      </c>
      <c r="H295" t="s">
        <v>138</v>
      </c>
      <c r="I295" s="13">
        <v>1</v>
      </c>
      <c r="J295" s="13">
        <v>5</v>
      </c>
      <c r="K295" s="92" t="s">
        <v>527</v>
      </c>
      <c r="L295" s="37">
        <v>0.5</v>
      </c>
      <c r="M295" s="37">
        <v>25</v>
      </c>
      <c r="N295" s="37">
        <v>35.42</v>
      </c>
      <c r="O295" s="37" t="s">
        <v>17</v>
      </c>
      <c r="Q295" s="13" t="s">
        <v>4</v>
      </c>
      <c r="R295" s="37">
        <v>32.666400000000003</v>
      </c>
      <c r="S295" s="13">
        <v>3</v>
      </c>
      <c r="T295" s="38" t="str">
        <f t="shared" si="785"/>
        <v>0.00</v>
      </c>
      <c r="U295" s="38">
        <f t="shared" ref="U295:U297" si="818">BE295</f>
        <v>-0.5</v>
      </c>
      <c r="V295" s="38">
        <f t="shared" ref="V295:V297" si="819">V294+U295</f>
        <v>3.1304800000000128</v>
      </c>
      <c r="W295" s="38">
        <f t="shared" ref="W295:W297" si="820">W294+L295</f>
        <v>140.50000000000006</v>
      </c>
      <c r="X295" s="39">
        <f t="shared" ref="X295:X297" si="821">SUM(V295/W295)</f>
        <v>2.2280996441281221E-2</v>
      </c>
      <c r="Y295" s="40">
        <f t="shared" ref="Y295:Y297" si="822">V295/100</f>
        <v>3.1304800000000126E-2</v>
      </c>
      <c r="Z295" s="41">
        <f t="shared" ref="Z295:Z297" si="823">V295*100</f>
        <v>313.04800000000125</v>
      </c>
      <c r="AA295" s="13" t="s">
        <v>57</v>
      </c>
      <c r="AT295" s="37">
        <v>31</v>
      </c>
      <c r="AU295" s="37">
        <v>31</v>
      </c>
      <c r="AV295" s="10">
        <f t="shared" ref="AV295:AV299" si="824">((N295*(L295))-(L295))</f>
        <v>17.21</v>
      </c>
      <c r="AW295" s="10">
        <f t="shared" ref="AW295:AW299" si="825">0.92*(N295-1)+1</f>
        <v>32.666400000000003</v>
      </c>
      <c r="AZ295" t="str">
        <f t="shared" ref="AZ295:AZ299" si="826">IF(N295&gt;=M295,"Yes","No")</f>
        <v>Yes</v>
      </c>
      <c r="BB295" s="37">
        <f t="shared" ref="BB295:BB299" si="827">IF(AA295="W",
   L295*(N295-1),
   -L295
)</f>
        <v>-0.5</v>
      </c>
      <c r="BC295" s="37">
        <f t="shared" si="590"/>
        <v>-0.5</v>
      </c>
      <c r="BD295" s="37">
        <f t="shared" ref="BD295:BD299" si="828">IF(BC295&gt;0, BC295*0.92, BC295)</f>
        <v>-0.5</v>
      </c>
      <c r="BE295" s="37">
        <f t="shared" ref="BE295:BE299" si="829">IF(
  BC295&gt;0,
  IF(
    AA295="W",
    BB295 - (BC295 - BD295),
    BB295
  ),
  BB295
)</f>
        <v>-0.5</v>
      </c>
      <c r="BF295" s="13" cm="1">
        <f t="array" ref="BF295">SUMPRODUCT((1/COUNTIFS($A$3:$A295,$A$3:$A295,$H$3:$H295,$H$3:$H295,$I$3:$I295,$I$3:$I295)))</f>
        <v>148.99999999999997</v>
      </c>
    </row>
    <row r="296" spans="1:58" x14ac:dyDescent="0.2">
      <c r="A296" s="91">
        <v>46326</v>
      </c>
      <c r="C296" s="37">
        <v>10.31</v>
      </c>
      <c r="D296" s="13" t="s">
        <v>133</v>
      </c>
      <c r="E296" s="13" t="s">
        <v>134</v>
      </c>
      <c r="H296" t="s">
        <v>138</v>
      </c>
      <c r="I296" s="13">
        <v>2</v>
      </c>
      <c r="J296" s="13">
        <v>8</v>
      </c>
      <c r="K296" t="s">
        <v>528</v>
      </c>
      <c r="L296" s="37">
        <v>0.5</v>
      </c>
      <c r="M296" s="37">
        <v>19.5</v>
      </c>
      <c r="N296" s="37">
        <v>23.63</v>
      </c>
      <c r="O296" s="37" t="s">
        <v>17</v>
      </c>
      <c r="Q296" s="13" t="s">
        <v>4</v>
      </c>
      <c r="R296" s="37">
        <v>21.819600000000001</v>
      </c>
      <c r="S296" s="13" t="s">
        <v>136</v>
      </c>
      <c r="T296" s="38" t="str">
        <f t="shared" si="785"/>
        <v>0.00</v>
      </c>
      <c r="U296" s="38">
        <f t="shared" si="818"/>
        <v>-0.5</v>
      </c>
      <c r="V296" s="38">
        <f t="shared" si="819"/>
        <v>2.6304800000000128</v>
      </c>
      <c r="W296" s="38">
        <f t="shared" si="820"/>
        <v>141.00000000000006</v>
      </c>
      <c r="X296" s="39">
        <f t="shared" si="821"/>
        <v>1.8655886524822779E-2</v>
      </c>
      <c r="Y296" s="40">
        <f t="shared" si="822"/>
        <v>2.6304800000000128E-2</v>
      </c>
      <c r="Z296" s="41">
        <f t="shared" si="823"/>
        <v>263.04800000000125</v>
      </c>
      <c r="AA296" s="13" t="s">
        <v>57</v>
      </c>
      <c r="AT296" s="37">
        <v>23.3</v>
      </c>
      <c r="AU296" s="37">
        <v>21</v>
      </c>
      <c r="AV296" s="10">
        <f t="shared" si="824"/>
        <v>11.315</v>
      </c>
      <c r="AW296" s="10">
        <f t="shared" si="825"/>
        <v>21.819600000000001</v>
      </c>
      <c r="AZ296" t="str">
        <f t="shared" si="826"/>
        <v>Yes</v>
      </c>
      <c r="BB296" s="37">
        <f t="shared" si="827"/>
        <v>-0.5</v>
      </c>
      <c r="BC296" s="37">
        <f t="shared" si="590"/>
        <v>-0.5</v>
      </c>
      <c r="BD296" s="37">
        <f t="shared" si="828"/>
        <v>-0.5</v>
      </c>
      <c r="BE296" s="37">
        <f t="shared" si="829"/>
        <v>-0.5</v>
      </c>
      <c r="BF296" s="13" cm="1">
        <f t="array" ref="BF296">SUMPRODUCT((1/COUNTIFS($A$3:$A296,$A$3:$A296,$H$3:$H296,$H$3:$H296,$I$3:$I296,$I$3:$I296)))</f>
        <v>149.99999999999997</v>
      </c>
    </row>
    <row r="297" spans="1:58" x14ac:dyDescent="0.2">
      <c r="A297" s="91">
        <v>46326</v>
      </c>
      <c r="C297" s="37">
        <v>10.31</v>
      </c>
      <c r="D297" s="13" t="s">
        <v>133</v>
      </c>
      <c r="E297" s="13" t="s">
        <v>134</v>
      </c>
      <c r="H297" t="s">
        <v>138</v>
      </c>
      <c r="I297" s="13">
        <v>3</v>
      </c>
      <c r="J297" s="13">
        <v>7</v>
      </c>
      <c r="K297" t="s">
        <v>530</v>
      </c>
      <c r="L297" s="37">
        <v>0.5</v>
      </c>
      <c r="M297" s="37">
        <v>20</v>
      </c>
      <c r="N297" s="37">
        <v>39.130000000000003</v>
      </c>
      <c r="O297" s="37" t="s">
        <v>17</v>
      </c>
      <c r="Q297" s="13" t="s">
        <v>4</v>
      </c>
      <c r="R297" s="37">
        <v>36.079600000000006</v>
      </c>
      <c r="S297" s="13" t="s">
        <v>136</v>
      </c>
      <c r="T297" s="38" t="str">
        <f t="shared" si="785"/>
        <v>0.00</v>
      </c>
      <c r="U297" s="38">
        <f t="shared" si="818"/>
        <v>-0.5</v>
      </c>
      <c r="V297" s="38">
        <f t="shared" si="819"/>
        <v>2.1304800000000128</v>
      </c>
      <c r="W297" s="38">
        <f t="shared" si="820"/>
        <v>141.50000000000006</v>
      </c>
      <c r="X297" s="39">
        <f t="shared" si="821"/>
        <v>1.5056395759717399E-2</v>
      </c>
      <c r="Y297" s="40">
        <f t="shared" si="822"/>
        <v>2.1304800000000127E-2</v>
      </c>
      <c r="Z297" s="41">
        <f t="shared" si="823"/>
        <v>213.04800000000128</v>
      </c>
      <c r="AA297" s="13" t="s">
        <v>57</v>
      </c>
      <c r="AT297" s="37">
        <v>30.8</v>
      </c>
      <c r="AU297" s="37">
        <v>26</v>
      </c>
      <c r="AV297" s="10">
        <f t="shared" si="824"/>
        <v>19.065000000000001</v>
      </c>
      <c r="AW297" s="10">
        <f t="shared" si="825"/>
        <v>36.079600000000006</v>
      </c>
      <c r="AZ297" t="str">
        <f t="shared" si="826"/>
        <v>Yes</v>
      </c>
      <c r="BB297" s="37">
        <f t="shared" si="827"/>
        <v>-0.5</v>
      </c>
      <c r="BC297" s="37">
        <f t="shared" si="590"/>
        <v>-0.5</v>
      </c>
      <c r="BD297" s="37">
        <f t="shared" si="828"/>
        <v>-0.5</v>
      </c>
      <c r="BE297" s="37">
        <f t="shared" si="829"/>
        <v>-0.5</v>
      </c>
      <c r="BF297" s="13" cm="1">
        <f t="array" ref="BF297">SUMPRODUCT((1/COUNTIFS($A$3:$A297,$A$3:$A297,$H$3:$H297,$H$3:$H297,$I$3:$I297,$I$3:$I297)))</f>
        <v>150.99999999999997</v>
      </c>
    </row>
    <row r="298" spans="1:58" x14ac:dyDescent="0.2">
      <c r="A298" s="91">
        <v>46326</v>
      </c>
      <c r="C298" s="37">
        <v>10.31</v>
      </c>
      <c r="D298" s="13" t="s">
        <v>133</v>
      </c>
      <c r="E298" s="13" t="s">
        <v>134</v>
      </c>
      <c r="H298" t="s">
        <v>138</v>
      </c>
      <c r="I298" s="13">
        <v>4</v>
      </c>
      <c r="J298" s="13">
        <v>11</v>
      </c>
      <c r="K298" t="s">
        <v>444</v>
      </c>
      <c r="L298" s="37">
        <v>0.5</v>
      </c>
      <c r="M298" s="37">
        <v>27</v>
      </c>
      <c r="N298" s="37">
        <v>27</v>
      </c>
      <c r="O298" s="37" t="s">
        <v>17</v>
      </c>
      <c r="Q298" s="13" t="s">
        <v>4</v>
      </c>
      <c r="R298" s="37">
        <v>24.92</v>
      </c>
      <c r="S298" s="13" t="s">
        <v>136</v>
      </c>
      <c r="T298" s="38" t="str">
        <f t="shared" si="785"/>
        <v>0.00</v>
      </c>
      <c r="U298" s="38">
        <f t="shared" ref="U298" si="830">BE298</f>
        <v>-0.5</v>
      </c>
      <c r="V298" s="38">
        <f t="shared" ref="V298" si="831">V297+U298</f>
        <v>1.6304800000000128</v>
      </c>
      <c r="W298" s="38">
        <f t="shared" ref="W298" si="832">W297+L298</f>
        <v>142.00000000000006</v>
      </c>
      <c r="X298" s="39">
        <f t="shared" ref="X298" si="833">SUM(V298/W298)</f>
        <v>1.1482253521126846E-2</v>
      </c>
      <c r="Y298" s="40">
        <f t="shared" ref="Y298" si="834">V298/100</f>
        <v>1.630480000000013E-2</v>
      </c>
      <c r="Z298" s="41">
        <f t="shared" ref="Z298" si="835">V298*100</f>
        <v>163.04800000000128</v>
      </c>
      <c r="AA298" s="13" t="s">
        <v>57</v>
      </c>
      <c r="AT298" s="37">
        <v>30.6</v>
      </c>
      <c r="AU298" s="37">
        <v>31</v>
      </c>
      <c r="AV298" s="10">
        <f t="shared" si="824"/>
        <v>13</v>
      </c>
      <c r="AW298" s="10">
        <f t="shared" si="825"/>
        <v>24.92</v>
      </c>
      <c r="AZ298" t="str">
        <f t="shared" si="826"/>
        <v>Yes</v>
      </c>
      <c r="BB298" s="37">
        <f t="shared" si="827"/>
        <v>-0.5</v>
      </c>
      <c r="BC298" s="37">
        <f t="shared" si="590"/>
        <v>-0.5</v>
      </c>
      <c r="BD298" s="37">
        <f t="shared" si="828"/>
        <v>-0.5</v>
      </c>
      <c r="BE298" s="37">
        <f t="shared" si="829"/>
        <v>-0.5</v>
      </c>
      <c r="BF298" s="13" cm="1">
        <f t="array" ref="BF298">SUMPRODUCT((1/COUNTIFS($A$3:$A298,$A$3:$A298,$H$3:$H298,$H$3:$H298,$I$3:$I298,$I$3:$I298)))</f>
        <v>151.99999999999997</v>
      </c>
    </row>
    <row r="299" spans="1:58" x14ac:dyDescent="0.2">
      <c r="A299" s="91">
        <v>46326</v>
      </c>
      <c r="C299" s="37">
        <v>10.31</v>
      </c>
      <c r="D299" s="13" t="s">
        <v>133</v>
      </c>
      <c r="E299" s="13" t="s">
        <v>142</v>
      </c>
      <c r="H299" t="s">
        <v>140</v>
      </c>
      <c r="I299" s="13">
        <v>3</v>
      </c>
      <c r="J299" s="13">
        <v>10</v>
      </c>
      <c r="K299" t="s">
        <v>534</v>
      </c>
      <c r="L299" s="37">
        <v>0.5</v>
      </c>
      <c r="M299" s="37">
        <v>16.5</v>
      </c>
      <c r="N299" s="37">
        <v>16.5</v>
      </c>
      <c r="O299" s="37" t="s">
        <v>17</v>
      </c>
      <c r="Q299" s="13" t="s">
        <v>4</v>
      </c>
      <c r="R299" s="37">
        <v>15.26</v>
      </c>
      <c r="S299" s="13" t="s">
        <v>136</v>
      </c>
      <c r="T299" s="38" t="str">
        <f t="shared" si="785"/>
        <v>0.00</v>
      </c>
      <c r="U299" s="38">
        <f t="shared" ref="U299" si="836">BE299</f>
        <v>-0.5</v>
      </c>
      <c r="V299" s="38">
        <f t="shared" ref="V299" si="837">V298+U299</f>
        <v>1.1304800000000128</v>
      </c>
      <c r="W299" s="38">
        <f t="shared" ref="W299" si="838">W298+L299</f>
        <v>142.50000000000006</v>
      </c>
      <c r="X299" s="39">
        <f t="shared" ref="X299" si="839">SUM(V299/W299)</f>
        <v>7.9331929824562279E-3</v>
      </c>
      <c r="Y299" s="40">
        <f t="shared" ref="Y299" si="840">V299/100</f>
        <v>1.1304800000000129E-2</v>
      </c>
      <c r="Z299" s="41">
        <f t="shared" ref="Z299" si="841">V299*100</f>
        <v>113.04800000000128</v>
      </c>
      <c r="AA299" s="13" t="s">
        <v>57</v>
      </c>
      <c r="AT299" s="37">
        <v>12.2</v>
      </c>
      <c r="AU299" s="37">
        <v>12</v>
      </c>
      <c r="AV299" s="10">
        <f t="shared" si="824"/>
        <v>7.75</v>
      </c>
      <c r="AW299" s="10">
        <f t="shared" si="825"/>
        <v>15.26</v>
      </c>
      <c r="AZ299" t="str">
        <f t="shared" si="826"/>
        <v>Yes</v>
      </c>
      <c r="BB299" s="37">
        <f t="shared" si="827"/>
        <v>-0.5</v>
      </c>
      <c r="BC299" s="37">
        <f t="shared" si="590"/>
        <v>-0.5</v>
      </c>
      <c r="BD299" s="37">
        <f t="shared" si="828"/>
        <v>-0.5</v>
      </c>
      <c r="BE299" s="37">
        <f t="shared" si="829"/>
        <v>-0.5</v>
      </c>
      <c r="BF299" s="13" cm="1">
        <f t="array" ref="BF299">SUMPRODUCT((1/COUNTIFS($A$3:$A299,$A$3:$A299,$H$3:$H299,$H$3:$H299,$I$3:$I299,$I$3:$I299)))</f>
        <v>152.99999999999997</v>
      </c>
    </row>
    <row r="300" spans="1:58" x14ac:dyDescent="0.2">
      <c r="A300" s="91">
        <v>46326</v>
      </c>
      <c r="C300" s="37">
        <v>10.31</v>
      </c>
      <c r="D300" s="13" t="s">
        <v>133</v>
      </c>
      <c r="E300" s="13" t="s">
        <v>142</v>
      </c>
      <c r="H300" t="s">
        <v>140</v>
      </c>
      <c r="I300" s="13">
        <v>4</v>
      </c>
      <c r="J300" s="13">
        <v>3</v>
      </c>
      <c r="K300" t="s">
        <v>535</v>
      </c>
      <c r="L300" s="37">
        <v>0.5</v>
      </c>
      <c r="M300" s="37">
        <v>27</v>
      </c>
      <c r="N300" s="37">
        <v>29.04</v>
      </c>
      <c r="O300" s="37" t="s">
        <v>17</v>
      </c>
      <c r="Q300" s="13" t="s">
        <v>4</v>
      </c>
      <c r="R300" s="37">
        <v>26.796800000000001</v>
      </c>
      <c r="S300" s="13" t="s">
        <v>136</v>
      </c>
      <c r="T300" s="38" t="str">
        <f t="shared" si="785"/>
        <v>0.00</v>
      </c>
      <c r="U300" s="38">
        <f t="shared" ref="U300" si="842">BE300</f>
        <v>-0.5</v>
      </c>
      <c r="V300" s="38">
        <f t="shared" ref="V300" si="843">V299+U300</f>
        <v>0.63048000000001281</v>
      </c>
      <c r="W300" s="38">
        <f t="shared" ref="W300" si="844">W299+L300</f>
        <v>143.00000000000006</v>
      </c>
      <c r="X300" s="39">
        <f t="shared" ref="X300" si="845">SUM(V300/W300)</f>
        <v>4.4089510489511369E-3</v>
      </c>
      <c r="Y300" s="40">
        <f t="shared" ref="Y300" si="846">V300/100</f>
        <v>6.3048000000001277E-3</v>
      </c>
      <c r="Z300" s="41">
        <f t="shared" ref="Z300" si="847">V300*100</f>
        <v>63.048000000001281</v>
      </c>
      <c r="AA300" s="13" t="s">
        <v>57</v>
      </c>
      <c r="AT300" s="37">
        <v>26.8</v>
      </c>
      <c r="AU300" s="37">
        <v>26</v>
      </c>
      <c r="AV300" s="10">
        <f t="shared" ref="AV300:AV304" si="848">((N300*(L300))-(L300))</f>
        <v>14.02</v>
      </c>
      <c r="AW300" s="10">
        <f t="shared" ref="AW300:AW304" si="849">0.92*(N300-1)+1</f>
        <v>26.796800000000001</v>
      </c>
      <c r="AZ300" t="str">
        <f t="shared" ref="AZ300:AZ304" si="850">IF(N300&gt;=M300,"Yes","No")</f>
        <v>Yes</v>
      </c>
      <c r="BB300" s="37">
        <f t="shared" ref="BB300:BB304" si="851">IF(AA300="W",
   L300*(N300-1),
   -L300
)</f>
        <v>-0.5</v>
      </c>
      <c r="BC300" s="37">
        <f t="shared" si="590"/>
        <v>-0.5</v>
      </c>
      <c r="BD300" s="37">
        <f t="shared" ref="BD300:BD304" si="852">IF(BC300&gt;0, BC300*0.92, BC300)</f>
        <v>-0.5</v>
      </c>
      <c r="BE300" s="37">
        <f t="shared" ref="BE300:BE304" si="853">IF(
  BC300&gt;0,
  IF(
    AA300="W",
    BB300 - (BC300 - BD300),
    BB300
  ),
  BB300
)</f>
        <v>-0.5</v>
      </c>
      <c r="BF300" s="13" cm="1">
        <f t="array" ref="BF300">SUMPRODUCT((1/COUNTIFS($A$3:$A300,$A$3:$A300,$H$3:$H300,$H$3:$H300,$I$3:$I300,$I$3:$I300)))</f>
        <v>153.99999999999997</v>
      </c>
    </row>
    <row r="301" spans="1:58" x14ac:dyDescent="0.2">
      <c r="A301" s="91">
        <v>46326</v>
      </c>
      <c r="C301" s="37">
        <v>10.31</v>
      </c>
      <c r="D301" s="13" t="s">
        <v>133</v>
      </c>
      <c r="E301" s="13" t="s">
        <v>134</v>
      </c>
      <c r="H301" t="s">
        <v>138</v>
      </c>
      <c r="I301" s="13">
        <v>7</v>
      </c>
      <c r="J301" s="13">
        <v>4</v>
      </c>
      <c r="K301" s="101" t="s">
        <v>497</v>
      </c>
      <c r="L301" s="37">
        <v>0.5</v>
      </c>
      <c r="M301" s="37">
        <v>18.5</v>
      </c>
      <c r="N301" s="37">
        <v>21.97</v>
      </c>
      <c r="O301" s="37" t="s">
        <v>17</v>
      </c>
      <c r="Q301" s="13" t="s">
        <v>4</v>
      </c>
      <c r="R301" s="37">
        <v>20.292400000000001</v>
      </c>
      <c r="S301" s="13">
        <v>1</v>
      </c>
      <c r="T301" s="38">
        <f t="shared" si="785"/>
        <v>10.15</v>
      </c>
      <c r="U301" s="38">
        <f t="shared" ref="U301:U304" si="854">BE301</f>
        <v>9.8062000000000005</v>
      </c>
      <c r="V301" s="38">
        <f t="shared" ref="V301:V304" si="855">V300+U301</f>
        <v>10.436680000000013</v>
      </c>
      <c r="W301" s="38">
        <f t="shared" ref="W301:W304" si="856">W300+L301</f>
        <v>143.50000000000006</v>
      </c>
      <c r="X301" s="39">
        <f t="shared" ref="X301:X304" si="857">SUM(V301/W301)</f>
        <v>7.2729477351916441E-2</v>
      </c>
      <c r="Y301" s="40">
        <f t="shared" ref="Y301:Y304" si="858">V301/100</f>
        <v>0.10436680000000013</v>
      </c>
      <c r="Z301" s="41">
        <f t="shared" ref="Z301:Z304" si="859">V301*100</f>
        <v>1043.6680000000013</v>
      </c>
      <c r="AA301" s="13" t="s">
        <v>206</v>
      </c>
      <c r="AT301" s="37">
        <v>19.3</v>
      </c>
      <c r="AU301" s="37">
        <v>17</v>
      </c>
      <c r="AV301" s="10">
        <f t="shared" si="848"/>
        <v>10.484999999999999</v>
      </c>
      <c r="AW301" s="10">
        <f t="shared" si="849"/>
        <v>20.292400000000001</v>
      </c>
      <c r="AZ301" t="str">
        <f t="shared" si="850"/>
        <v>Yes</v>
      </c>
      <c r="BB301" s="37">
        <f t="shared" si="851"/>
        <v>10.484999999999999</v>
      </c>
      <c r="BC301" s="37">
        <f t="shared" si="590"/>
        <v>8.4849999999999994</v>
      </c>
      <c r="BD301" s="37">
        <f t="shared" si="852"/>
        <v>7.8061999999999996</v>
      </c>
      <c r="BE301" s="37">
        <f t="shared" si="853"/>
        <v>9.8062000000000005</v>
      </c>
      <c r="BF301" s="13" cm="1">
        <f t="array" ref="BF301">SUMPRODUCT((1/COUNTIFS($A$3:$A301,$A$3:$A301,$H$3:$H301,$H$3:$H301,$I$3:$I301,$I$3:$I301)))</f>
        <v>154.99999999999997</v>
      </c>
    </row>
    <row r="302" spans="1:58" x14ac:dyDescent="0.2">
      <c r="A302" s="91">
        <v>46326</v>
      </c>
      <c r="C302" s="37">
        <v>10.31</v>
      </c>
      <c r="D302" s="13" t="s">
        <v>133</v>
      </c>
      <c r="E302" s="13" t="s">
        <v>134</v>
      </c>
      <c r="H302" t="s">
        <v>138</v>
      </c>
      <c r="I302" s="13">
        <v>7</v>
      </c>
      <c r="J302" s="13">
        <v>5</v>
      </c>
      <c r="K302" t="s">
        <v>322</v>
      </c>
      <c r="L302" s="37">
        <v>0.5</v>
      </c>
      <c r="M302" s="37">
        <v>12.5</v>
      </c>
      <c r="N302" s="37">
        <v>15</v>
      </c>
      <c r="O302" s="37" t="s">
        <v>17</v>
      </c>
      <c r="Q302" s="13" t="s">
        <v>4</v>
      </c>
      <c r="R302" s="37">
        <v>13.88</v>
      </c>
      <c r="S302" s="13" t="s">
        <v>136</v>
      </c>
      <c r="T302" s="38" t="str">
        <f t="shared" si="785"/>
        <v>0.00</v>
      </c>
      <c r="U302" s="38">
        <f t="shared" si="854"/>
        <v>-0.5</v>
      </c>
      <c r="V302" s="38">
        <f t="shared" si="855"/>
        <v>9.9366800000000133</v>
      </c>
      <c r="W302" s="38">
        <f t="shared" si="856"/>
        <v>144.00000000000006</v>
      </c>
      <c r="X302" s="39">
        <f t="shared" si="857"/>
        <v>6.9004722222222287E-2</v>
      </c>
      <c r="Y302" s="40">
        <f t="shared" si="858"/>
        <v>9.936680000000013E-2</v>
      </c>
      <c r="Z302" s="41">
        <f t="shared" si="859"/>
        <v>993.66800000000137</v>
      </c>
      <c r="AA302" s="13" t="s">
        <v>57</v>
      </c>
      <c r="AT302" s="37">
        <v>12</v>
      </c>
      <c r="AU302" s="37">
        <v>13</v>
      </c>
      <c r="AV302" s="10">
        <f t="shared" si="848"/>
        <v>7</v>
      </c>
      <c r="AW302" s="10">
        <f t="shared" si="849"/>
        <v>13.88</v>
      </c>
      <c r="AZ302" t="str">
        <f t="shared" si="850"/>
        <v>Yes</v>
      </c>
      <c r="BB302" s="37">
        <f t="shared" si="851"/>
        <v>-0.5</v>
      </c>
      <c r="BC302" s="37">
        <f t="shared" si="590"/>
        <v>8.4849999999999994</v>
      </c>
      <c r="BD302" s="37">
        <f t="shared" si="852"/>
        <v>7.8061999999999996</v>
      </c>
      <c r="BE302" s="37">
        <f t="shared" si="853"/>
        <v>-0.5</v>
      </c>
      <c r="BF302" s="13" cm="1">
        <f t="array" ref="BF302">SUMPRODUCT((1/COUNTIFS($A$3:$A302,$A$3:$A302,$H$3:$H302,$H$3:$H302,$I$3:$I302,$I$3:$I302)))</f>
        <v>154.99999999999997</v>
      </c>
    </row>
    <row r="303" spans="1:58" x14ac:dyDescent="0.2">
      <c r="A303" s="91">
        <v>46326</v>
      </c>
      <c r="C303" s="37">
        <v>10.31</v>
      </c>
      <c r="D303" s="13" t="s">
        <v>133</v>
      </c>
      <c r="E303" s="13" t="s">
        <v>134</v>
      </c>
      <c r="H303" t="s">
        <v>138</v>
      </c>
      <c r="I303" s="13">
        <v>7</v>
      </c>
      <c r="J303" s="13">
        <v>9</v>
      </c>
      <c r="K303" t="s">
        <v>321</v>
      </c>
      <c r="L303" s="37">
        <v>0.5</v>
      </c>
      <c r="M303" s="37">
        <v>28</v>
      </c>
      <c r="N303" s="37">
        <v>36.450000000000003</v>
      </c>
      <c r="O303" s="37" t="s">
        <v>17</v>
      </c>
      <c r="Q303" s="13" t="s">
        <v>4</v>
      </c>
      <c r="R303" s="37">
        <v>33.614000000000004</v>
      </c>
      <c r="S303" s="13" t="s">
        <v>136</v>
      </c>
      <c r="T303" s="38" t="str">
        <f t="shared" si="785"/>
        <v>0.00</v>
      </c>
      <c r="U303" s="38">
        <f t="shared" si="854"/>
        <v>-0.5</v>
      </c>
      <c r="V303" s="38">
        <f t="shared" si="855"/>
        <v>9.4366800000000133</v>
      </c>
      <c r="W303" s="38">
        <f t="shared" si="856"/>
        <v>144.50000000000006</v>
      </c>
      <c r="X303" s="39">
        <f t="shared" si="857"/>
        <v>6.5305743944636743E-2</v>
      </c>
      <c r="Y303" s="40">
        <f t="shared" si="858"/>
        <v>9.4366800000000139E-2</v>
      </c>
      <c r="Z303" s="41">
        <f t="shared" si="859"/>
        <v>943.66800000000137</v>
      </c>
      <c r="AA303" s="13" t="s">
        <v>57</v>
      </c>
      <c r="AT303" s="37">
        <v>28.6</v>
      </c>
      <c r="AU303" s="37">
        <v>26</v>
      </c>
      <c r="AV303" s="10">
        <f t="shared" si="848"/>
        <v>17.725000000000001</v>
      </c>
      <c r="AW303" s="10">
        <f t="shared" si="849"/>
        <v>33.614000000000004</v>
      </c>
      <c r="AZ303" t="str">
        <f t="shared" si="850"/>
        <v>Yes</v>
      </c>
      <c r="BB303" s="37">
        <f t="shared" si="851"/>
        <v>-0.5</v>
      </c>
      <c r="BC303" s="37">
        <f t="shared" si="590"/>
        <v>8.4849999999999994</v>
      </c>
      <c r="BD303" s="37">
        <f t="shared" si="852"/>
        <v>7.8061999999999996</v>
      </c>
      <c r="BE303" s="37">
        <f t="shared" si="853"/>
        <v>-0.5</v>
      </c>
      <c r="BF303" s="13" cm="1">
        <f t="array" ref="BF303">SUMPRODUCT((1/COUNTIFS($A$3:$A303,$A$3:$A303,$H$3:$H303,$H$3:$H303,$I$3:$I303,$I$3:$I303)))</f>
        <v>155</v>
      </c>
    </row>
    <row r="304" spans="1:58" x14ac:dyDescent="0.2">
      <c r="A304" s="91">
        <v>46326</v>
      </c>
      <c r="C304" s="37">
        <v>10.31</v>
      </c>
      <c r="D304" s="13" t="s">
        <v>133</v>
      </c>
      <c r="E304" s="13" t="s">
        <v>134</v>
      </c>
      <c r="H304" t="s">
        <v>138</v>
      </c>
      <c r="I304" s="13">
        <v>7</v>
      </c>
      <c r="J304" s="13">
        <v>11</v>
      </c>
      <c r="K304" t="s">
        <v>405</v>
      </c>
      <c r="L304" s="37">
        <v>0.5</v>
      </c>
      <c r="M304" s="37">
        <v>26</v>
      </c>
      <c r="N304" s="37">
        <v>28.54</v>
      </c>
      <c r="O304" s="37" t="s">
        <v>17</v>
      </c>
      <c r="Q304" s="13" t="s">
        <v>4</v>
      </c>
      <c r="R304" s="37">
        <v>26.3368</v>
      </c>
      <c r="S304" s="13" t="s">
        <v>136</v>
      </c>
      <c r="T304" s="38" t="str">
        <f t="shared" si="785"/>
        <v>0.00</v>
      </c>
      <c r="U304" s="38">
        <f t="shared" si="854"/>
        <v>-0.5</v>
      </c>
      <c r="V304" s="38">
        <f t="shared" si="855"/>
        <v>8.9366800000000133</v>
      </c>
      <c r="W304" s="38">
        <f t="shared" si="856"/>
        <v>145.00000000000006</v>
      </c>
      <c r="X304" s="39">
        <f t="shared" si="857"/>
        <v>6.1632275862069034E-2</v>
      </c>
      <c r="Y304" s="40">
        <f t="shared" si="858"/>
        <v>8.9366800000000135E-2</v>
      </c>
      <c r="Z304" s="41">
        <f t="shared" si="859"/>
        <v>893.66800000000137</v>
      </c>
      <c r="AA304" s="13" t="s">
        <v>57</v>
      </c>
      <c r="AT304" s="37">
        <v>28.2</v>
      </c>
      <c r="AU304" s="37">
        <v>31</v>
      </c>
      <c r="AV304" s="10">
        <f t="shared" si="848"/>
        <v>13.77</v>
      </c>
      <c r="AW304" s="10">
        <f t="shared" si="849"/>
        <v>26.3368</v>
      </c>
      <c r="AZ304" t="str">
        <f t="shared" si="850"/>
        <v>Yes</v>
      </c>
      <c r="BB304" s="37">
        <f t="shared" si="851"/>
        <v>-0.5</v>
      </c>
      <c r="BC304" s="37">
        <f t="shared" si="590"/>
        <v>8.4849999999999994</v>
      </c>
      <c r="BD304" s="37">
        <f t="shared" si="852"/>
        <v>7.8061999999999996</v>
      </c>
      <c r="BE304" s="37">
        <f t="shared" si="853"/>
        <v>-0.5</v>
      </c>
      <c r="BF304" s="13" cm="1">
        <f t="array" ref="BF304">SUMPRODUCT((1/COUNTIFS($A$3:$A304,$A$3:$A304,$H$3:$H304,$H$3:$H304,$I$3:$I304,$I$3:$I304)))</f>
        <v>154.99999999999997</v>
      </c>
    </row>
    <row r="305" spans="1:58" x14ac:dyDescent="0.2">
      <c r="A305" s="91">
        <v>46326</v>
      </c>
      <c r="C305" s="37">
        <v>10.31</v>
      </c>
      <c r="D305" s="13" t="s">
        <v>133</v>
      </c>
      <c r="E305" s="13" t="s">
        <v>134</v>
      </c>
      <c r="H305" t="s">
        <v>138</v>
      </c>
      <c r="I305" s="13">
        <v>7</v>
      </c>
      <c r="J305" s="13">
        <v>3</v>
      </c>
      <c r="K305" s="92" t="s">
        <v>404</v>
      </c>
      <c r="L305" s="37">
        <v>0.5</v>
      </c>
      <c r="M305" s="37">
        <v>18.5</v>
      </c>
      <c r="N305" s="37">
        <v>19.41</v>
      </c>
      <c r="O305" s="37" t="s">
        <v>17</v>
      </c>
      <c r="Q305" s="13" t="s">
        <v>4</v>
      </c>
      <c r="R305" s="37">
        <v>17.937200000000001</v>
      </c>
      <c r="S305" s="13" t="s">
        <v>136</v>
      </c>
      <c r="T305" s="38" t="str">
        <f t="shared" si="785"/>
        <v>0.00</v>
      </c>
      <c r="U305" s="38">
        <f t="shared" ref="U305" si="860">BE305</f>
        <v>-0.5</v>
      </c>
      <c r="V305" s="38">
        <f t="shared" ref="V305" si="861">V304+U305</f>
        <v>8.4366800000000133</v>
      </c>
      <c r="W305" s="38">
        <f t="shared" ref="W305" si="862">W304+L305</f>
        <v>145.50000000000006</v>
      </c>
      <c r="X305" s="39">
        <f t="shared" ref="X305" si="863">SUM(V305/W305)</f>
        <v>5.7984054982817938E-2</v>
      </c>
      <c r="Y305" s="40">
        <f t="shared" ref="Y305" si="864">V305/100</f>
        <v>8.4366800000000131E-2</v>
      </c>
      <c r="Z305" s="41">
        <f t="shared" ref="Z305" si="865">V305*100</f>
        <v>843.66800000000137</v>
      </c>
      <c r="AA305" s="13" t="s">
        <v>57</v>
      </c>
      <c r="AT305" s="37">
        <v>17.3</v>
      </c>
      <c r="AU305" s="37">
        <v>17</v>
      </c>
      <c r="AV305" s="10">
        <f t="shared" ref="AV305:AV313" si="866">((N305*(L305))-(L305))</f>
        <v>9.2050000000000001</v>
      </c>
      <c r="AW305" s="10">
        <f t="shared" ref="AW305:AW313" si="867">0.92*(N305-1)+1</f>
        <v>17.937200000000001</v>
      </c>
      <c r="AZ305" t="str">
        <f t="shared" ref="AZ305:AZ313" si="868">IF(N305&gt;=M305,"Yes","No")</f>
        <v>Yes</v>
      </c>
      <c r="BB305" s="37">
        <f t="shared" ref="BB305:BB313" si="869">IF(AA305="W",
   L305*(N305-1),
   -L305
)</f>
        <v>-0.5</v>
      </c>
      <c r="BC305" s="37">
        <f t="shared" si="590"/>
        <v>8.4849999999999994</v>
      </c>
      <c r="BD305" s="37">
        <f t="shared" ref="BD305:BD313" si="870">IF(BC305&gt;0, BC305*0.92, BC305)</f>
        <v>7.8061999999999996</v>
      </c>
      <c r="BE305" s="37">
        <f t="shared" ref="BE305:BE313" si="871">IF(
  BC305&gt;0,
  IF(
    AA305="W",
    BB305 - (BC305 - BD305),
    BB305
  ),
  BB305
)</f>
        <v>-0.5</v>
      </c>
      <c r="BF305" s="13" cm="1">
        <f t="array" ref="BF305">SUMPRODUCT((1/COUNTIFS($A$3:$A305,$A$3:$A305,$H$3:$H305,$H$3:$H305,$I$3:$I305,$I$3:$I305)))</f>
        <v>154.99999999999991</v>
      </c>
    </row>
    <row r="306" spans="1:58" x14ac:dyDescent="0.2">
      <c r="A306" s="91">
        <v>46326</v>
      </c>
      <c r="C306" s="37">
        <v>10.31</v>
      </c>
      <c r="D306" s="13" t="s">
        <v>133</v>
      </c>
      <c r="E306" s="13" t="s">
        <v>142</v>
      </c>
      <c r="H306" t="s">
        <v>140</v>
      </c>
      <c r="I306" s="13">
        <v>6</v>
      </c>
      <c r="J306" s="13">
        <v>5</v>
      </c>
      <c r="K306" t="s">
        <v>461</v>
      </c>
      <c r="L306" s="37">
        <v>0.5</v>
      </c>
      <c r="M306" s="37">
        <v>29</v>
      </c>
      <c r="N306" s="37">
        <v>29.75</v>
      </c>
      <c r="O306" s="37" t="s">
        <v>17</v>
      </c>
      <c r="Q306" s="13" t="s">
        <v>4</v>
      </c>
      <c r="R306" s="37">
        <v>27.450000000000003</v>
      </c>
      <c r="S306" s="13" t="s">
        <v>136</v>
      </c>
      <c r="T306" s="38" t="str">
        <f t="shared" si="785"/>
        <v>0.00</v>
      </c>
      <c r="U306" s="38">
        <f t="shared" ref="U306" si="872">BE306</f>
        <v>-0.5</v>
      </c>
      <c r="V306" s="38">
        <f t="shared" ref="V306" si="873">V305+U306</f>
        <v>7.9366800000000133</v>
      </c>
      <c r="W306" s="38">
        <f t="shared" ref="W306" si="874">W305+L306</f>
        <v>146.00000000000006</v>
      </c>
      <c r="X306" s="39">
        <f t="shared" ref="X306" si="875">SUM(V306/W306)</f>
        <v>5.4360821917808291E-2</v>
      </c>
      <c r="Y306" s="40">
        <f t="shared" ref="Y306" si="876">V306/100</f>
        <v>7.9366800000000126E-2</v>
      </c>
      <c r="Z306" s="41">
        <f t="shared" ref="Z306" si="877">V306*100</f>
        <v>793.66800000000137</v>
      </c>
      <c r="AA306" s="13" t="s">
        <v>57</v>
      </c>
      <c r="AT306" s="37">
        <v>26</v>
      </c>
      <c r="AU306" s="37">
        <v>26</v>
      </c>
      <c r="AV306" s="10">
        <f t="shared" si="866"/>
        <v>14.375</v>
      </c>
      <c r="AW306" s="10">
        <f t="shared" si="867"/>
        <v>27.450000000000003</v>
      </c>
      <c r="AZ306" t="str">
        <f t="shared" si="868"/>
        <v>Yes</v>
      </c>
      <c r="BB306" s="37">
        <f t="shared" si="869"/>
        <v>-0.5</v>
      </c>
      <c r="BC306" s="37">
        <f t="shared" si="590"/>
        <v>-0.5</v>
      </c>
      <c r="BD306" s="37">
        <f t="shared" si="870"/>
        <v>-0.5</v>
      </c>
      <c r="BE306" s="37">
        <f t="shared" si="871"/>
        <v>-0.5</v>
      </c>
      <c r="BF306" s="13" cm="1">
        <f t="array" ref="BF306">SUMPRODUCT((1/COUNTIFS($A$3:$A306,$A$3:$A306,$H$3:$H306,$H$3:$H306,$I$3:$I306,$I$3:$I306)))</f>
        <v>155.99999999999991</v>
      </c>
    </row>
    <row r="307" spans="1:58" x14ac:dyDescent="0.2">
      <c r="A307" s="91">
        <v>46326</v>
      </c>
      <c r="C307" s="37">
        <v>10.31</v>
      </c>
      <c r="D307" s="13" t="s">
        <v>133</v>
      </c>
      <c r="E307" s="13" t="s">
        <v>142</v>
      </c>
      <c r="H307" t="s">
        <v>140</v>
      </c>
      <c r="I307" s="13">
        <v>7</v>
      </c>
      <c r="J307" s="13">
        <v>15</v>
      </c>
      <c r="K307" t="s">
        <v>499</v>
      </c>
      <c r="L307" s="37">
        <v>0.5</v>
      </c>
      <c r="M307" s="37">
        <v>9.1999999999999993</v>
      </c>
      <c r="N307" s="37">
        <v>9.1999999999999993</v>
      </c>
      <c r="O307" s="37" t="s">
        <v>17</v>
      </c>
      <c r="Q307" s="13" t="s">
        <v>4</v>
      </c>
      <c r="R307" s="37">
        <v>8.5440000000000005</v>
      </c>
      <c r="S307" s="13" t="s">
        <v>136</v>
      </c>
      <c r="T307" s="38" t="str">
        <f t="shared" si="785"/>
        <v>0.00</v>
      </c>
      <c r="U307" s="38">
        <f t="shared" ref="U307" si="878">BE307</f>
        <v>-0.5</v>
      </c>
      <c r="V307" s="38">
        <f t="shared" ref="V307" si="879">V306+U307</f>
        <v>7.4366800000000133</v>
      </c>
      <c r="W307" s="38">
        <f t="shared" ref="W307" si="880">W306+L307</f>
        <v>146.50000000000006</v>
      </c>
      <c r="X307" s="39">
        <f t="shared" ref="X307" si="881">SUM(V307/W307)</f>
        <v>5.0762320819112701E-2</v>
      </c>
      <c r="Y307" s="40">
        <f t="shared" ref="Y307" si="882">V307/100</f>
        <v>7.4366800000000136E-2</v>
      </c>
      <c r="Z307" s="41">
        <f t="shared" ref="Z307" si="883">V307*100</f>
        <v>743.66800000000137</v>
      </c>
      <c r="AA307" s="13" t="s">
        <v>57</v>
      </c>
      <c r="AT307" s="37">
        <v>7.8</v>
      </c>
      <c r="AU307" s="37">
        <v>6.5</v>
      </c>
      <c r="AV307" s="10">
        <f t="shared" si="866"/>
        <v>4.0999999999999996</v>
      </c>
      <c r="AW307" s="10">
        <f t="shared" si="867"/>
        <v>8.5440000000000005</v>
      </c>
      <c r="AZ307" t="str">
        <f t="shared" si="868"/>
        <v>Yes</v>
      </c>
      <c r="BB307" s="37">
        <f t="shared" si="869"/>
        <v>-0.5</v>
      </c>
      <c r="BC307" s="37">
        <f t="shared" si="590"/>
        <v>-0.5</v>
      </c>
      <c r="BD307" s="37">
        <f t="shared" si="870"/>
        <v>-0.5</v>
      </c>
      <c r="BE307" s="37">
        <f t="shared" si="871"/>
        <v>-0.5</v>
      </c>
      <c r="BF307" s="13" cm="1">
        <f t="array" ref="BF307">SUMPRODUCT((1/COUNTIFS($A$3:$A307,$A$3:$A307,$H$3:$H307,$H$3:$H307,$I$3:$I307,$I$3:$I307)))</f>
        <v>156.99999999999991</v>
      </c>
    </row>
    <row r="308" spans="1:58" x14ac:dyDescent="0.2">
      <c r="A308" s="91">
        <v>46326</v>
      </c>
      <c r="C308" s="37">
        <v>10.31</v>
      </c>
      <c r="D308" s="13" t="s">
        <v>133</v>
      </c>
      <c r="E308" s="13" t="s">
        <v>134</v>
      </c>
      <c r="H308" t="s">
        <v>138</v>
      </c>
      <c r="I308" s="13">
        <v>9</v>
      </c>
      <c r="J308" s="13">
        <v>4</v>
      </c>
      <c r="K308" t="s">
        <v>541</v>
      </c>
      <c r="L308" s="37">
        <v>0.5</v>
      </c>
      <c r="M308" s="37">
        <v>26</v>
      </c>
      <c r="N308" s="37">
        <v>57.81</v>
      </c>
      <c r="O308" s="37" t="s">
        <v>17</v>
      </c>
      <c r="Q308" s="13" t="s">
        <v>4</v>
      </c>
      <c r="R308" s="37">
        <v>53.265200000000007</v>
      </c>
      <c r="S308" s="13" t="s">
        <v>136</v>
      </c>
      <c r="T308" s="38" t="str">
        <f t="shared" si="785"/>
        <v>0.00</v>
      </c>
      <c r="U308" s="38">
        <f t="shared" ref="U308" si="884">BE308</f>
        <v>-0.5</v>
      </c>
      <c r="V308" s="38">
        <f t="shared" ref="V308" si="885">V307+U308</f>
        <v>6.9366800000000133</v>
      </c>
      <c r="W308" s="38">
        <f t="shared" ref="W308" si="886">W307+L308</f>
        <v>147.00000000000006</v>
      </c>
      <c r="X308" s="39">
        <f t="shared" ref="X308" si="887">SUM(V308/W308)</f>
        <v>4.7188299319727962E-2</v>
      </c>
      <c r="Y308" s="40">
        <f t="shared" ref="Y308" si="888">V308/100</f>
        <v>6.9366800000000131E-2</v>
      </c>
      <c r="Z308" s="41">
        <f t="shared" ref="Z308" si="889">V308*100</f>
        <v>693.66800000000137</v>
      </c>
      <c r="AA308" s="13" t="s">
        <v>57</v>
      </c>
      <c r="AT308" s="37">
        <v>44.5</v>
      </c>
      <c r="AU308" s="37">
        <v>41</v>
      </c>
      <c r="AV308" s="10">
        <f t="shared" si="866"/>
        <v>28.405000000000001</v>
      </c>
      <c r="AW308" s="10">
        <f t="shared" si="867"/>
        <v>53.265200000000007</v>
      </c>
      <c r="AZ308" t="str">
        <f t="shared" si="868"/>
        <v>Yes</v>
      </c>
      <c r="BB308" s="37">
        <f t="shared" si="869"/>
        <v>-0.5</v>
      </c>
      <c r="BC308" s="37">
        <f t="shared" si="590"/>
        <v>-0.5</v>
      </c>
      <c r="BD308" s="37">
        <f t="shared" si="870"/>
        <v>-0.5</v>
      </c>
      <c r="BE308" s="37">
        <f t="shared" si="871"/>
        <v>-0.5</v>
      </c>
      <c r="BF308" s="13" cm="1">
        <f t="array" ref="BF308">SUMPRODUCT((1/COUNTIFS($A$3:$A308,$A$3:$A308,$H$3:$H308,$H$3:$H308,$I$3:$I308,$I$3:$I308)))</f>
        <v>157.99999999999991</v>
      </c>
    </row>
    <row r="309" spans="1:58" x14ac:dyDescent="0.2">
      <c r="A309" s="91">
        <v>46326</v>
      </c>
      <c r="C309" s="37">
        <v>10.31</v>
      </c>
      <c r="D309" s="13" t="s">
        <v>133</v>
      </c>
      <c r="E309" s="13" t="s">
        <v>142</v>
      </c>
      <c r="H309" t="s">
        <v>140</v>
      </c>
      <c r="I309" s="13">
        <v>8</v>
      </c>
      <c r="J309" s="13">
        <v>1</v>
      </c>
      <c r="K309" t="s">
        <v>510</v>
      </c>
      <c r="L309" s="37">
        <v>0.5</v>
      </c>
      <c r="M309" s="37">
        <v>11</v>
      </c>
      <c r="N309" s="37">
        <v>15.5</v>
      </c>
      <c r="O309" s="37" t="s">
        <v>17</v>
      </c>
      <c r="Q309" s="13" t="s">
        <v>4</v>
      </c>
      <c r="R309" s="37">
        <v>14.34</v>
      </c>
      <c r="S309" s="13" t="s">
        <v>136</v>
      </c>
      <c r="T309" s="38" t="str">
        <f t="shared" si="785"/>
        <v>0.00</v>
      </c>
      <c r="U309" s="38">
        <f t="shared" ref="U309:U311" si="890">BE309</f>
        <v>-0.5</v>
      </c>
      <c r="V309" s="38">
        <f t="shared" ref="V309:V311" si="891">V308+U309</f>
        <v>6.4366800000000133</v>
      </c>
      <c r="W309" s="38">
        <f t="shared" ref="W309:W311" si="892">W308+L309</f>
        <v>147.50000000000006</v>
      </c>
      <c r="X309" s="39">
        <f t="shared" ref="X309:X311" si="893">SUM(V309/W309)</f>
        <v>4.3638508474576343E-2</v>
      </c>
      <c r="Y309" s="40">
        <f t="shared" ref="Y309:Y311" si="894">V309/100</f>
        <v>6.4366800000000127E-2</v>
      </c>
      <c r="Z309" s="41">
        <f t="shared" ref="Z309:Z311" si="895">V309*100</f>
        <v>643.66800000000137</v>
      </c>
      <c r="AA309" s="13" t="s">
        <v>57</v>
      </c>
      <c r="AT309" s="37">
        <v>11.1</v>
      </c>
      <c r="AU309" s="37">
        <v>10</v>
      </c>
      <c r="AV309" s="10">
        <f t="shared" si="866"/>
        <v>7.25</v>
      </c>
      <c r="AW309" s="10">
        <f t="shared" si="867"/>
        <v>14.34</v>
      </c>
      <c r="AZ309" t="str">
        <f t="shared" si="868"/>
        <v>Yes</v>
      </c>
      <c r="BB309" s="37">
        <f t="shared" si="869"/>
        <v>-0.5</v>
      </c>
      <c r="BC309" s="37">
        <f t="shared" si="590"/>
        <v>-1.5</v>
      </c>
      <c r="BD309" s="37">
        <f t="shared" si="870"/>
        <v>-1.5</v>
      </c>
      <c r="BE309" s="37">
        <f t="shared" si="871"/>
        <v>-0.5</v>
      </c>
      <c r="BF309" s="13" cm="1">
        <f t="array" ref="BF309">SUMPRODUCT((1/COUNTIFS($A$3:$A309,$A$3:$A309,$H$3:$H309,$H$3:$H309,$I$3:$I309,$I$3:$I309)))</f>
        <v>158.99999999999991</v>
      </c>
    </row>
    <row r="310" spans="1:58" x14ac:dyDescent="0.2">
      <c r="A310" s="91">
        <v>46326</v>
      </c>
      <c r="C310" s="37">
        <v>10.31</v>
      </c>
      <c r="D310" s="13" t="s">
        <v>133</v>
      </c>
      <c r="E310" s="13" t="s">
        <v>142</v>
      </c>
      <c r="H310" t="s">
        <v>140</v>
      </c>
      <c r="I310" s="13">
        <v>8</v>
      </c>
      <c r="J310" s="13">
        <v>6</v>
      </c>
      <c r="K310" t="s">
        <v>251</v>
      </c>
      <c r="L310" s="37">
        <v>0.5</v>
      </c>
      <c r="M310" s="37">
        <v>22</v>
      </c>
      <c r="N310" s="37">
        <v>30</v>
      </c>
      <c r="O310" s="37" t="s">
        <v>17</v>
      </c>
      <c r="Q310" s="13" t="s">
        <v>4</v>
      </c>
      <c r="R310" s="37">
        <v>27.68</v>
      </c>
      <c r="S310" s="13" t="s">
        <v>136</v>
      </c>
      <c r="T310" s="38" t="str">
        <f t="shared" si="785"/>
        <v>0.00</v>
      </c>
      <c r="U310" s="38">
        <f t="shared" si="890"/>
        <v>-0.5</v>
      </c>
      <c r="V310" s="38">
        <f t="shared" si="891"/>
        <v>5.9366800000000133</v>
      </c>
      <c r="W310" s="38">
        <f t="shared" si="892"/>
        <v>148.00000000000006</v>
      </c>
      <c r="X310" s="39">
        <f t="shared" si="893"/>
        <v>4.0112702702702778E-2</v>
      </c>
      <c r="Y310" s="40">
        <f t="shared" si="894"/>
        <v>5.9366800000000136E-2</v>
      </c>
      <c r="Z310" s="41">
        <f t="shared" si="895"/>
        <v>593.66800000000137</v>
      </c>
      <c r="AA310" s="13" t="s">
        <v>57</v>
      </c>
      <c r="AT310" s="37">
        <v>25.4</v>
      </c>
      <c r="AU310" s="37">
        <v>21</v>
      </c>
      <c r="AV310" s="10">
        <f t="shared" si="866"/>
        <v>14.5</v>
      </c>
      <c r="AW310" s="10">
        <f t="shared" si="867"/>
        <v>27.68</v>
      </c>
      <c r="AZ310" t="str">
        <f t="shared" si="868"/>
        <v>Yes</v>
      </c>
      <c r="BB310" s="37">
        <f t="shared" si="869"/>
        <v>-0.5</v>
      </c>
      <c r="BC310" s="37">
        <f t="shared" si="590"/>
        <v>-1.5</v>
      </c>
      <c r="BD310" s="37">
        <f t="shared" si="870"/>
        <v>-1.5</v>
      </c>
      <c r="BE310" s="37">
        <f t="shared" si="871"/>
        <v>-0.5</v>
      </c>
      <c r="BF310" s="13" cm="1">
        <f t="array" ref="BF310">SUMPRODUCT((1/COUNTIFS($A$3:$A310,$A$3:$A310,$H$3:$H310,$H$3:$H310,$I$3:$I310,$I$3:$I310)))</f>
        <v>158.99999999999991</v>
      </c>
    </row>
    <row r="311" spans="1:58" x14ac:dyDescent="0.2">
      <c r="A311" s="91">
        <v>46326</v>
      </c>
      <c r="C311" s="37">
        <v>10.31</v>
      </c>
      <c r="D311" s="13" t="s">
        <v>133</v>
      </c>
      <c r="E311" s="13" t="s">
        <v>142</v>
      </c>
      <c r="H311" t="s">
        <v>140</v>
      </c>
      <c r="I311" s="13">
        <v>8</v>
      </c>
      <c r="J311" s="13">
        <v>9</v>
      </c>
      <c r="K311" s="92" t="s">
        <v>542</v>
      </c>
      <c r="L311" s="37">
        <v>0.5</v>
      </c>
      <c r="M311" s="37">
        <v>8.8000000000000007</v>
      </c>
      <c r="N311" s="37">
        <v>12.5</v>
      </c>
      <c r="O311" s="37" t="s">
        <v>17</v>
      </c>
      <c r="Q311" s="13" t="s">
        <v>4</v>
      </c>
      <c r="R311" s="37">
        <v>11.58</v>
      </c>
      <c r="S311" s="13">
        <v>3</v>
      </c>
      <c r="T311" s="38" t="str">
        <f t="shared" si="785"/>
        <v>0.00</v>
      </c>
      <c r="U311" s="38">
        <f t="shared" si="890"/>
        <v>-0.5</v>
      </c>
      <c r="V311" s="38">
        <f t="shared" si="891"/>
        <v>5.4366800000000133</v>
      </c>
      <c r="W311" s="38">
        <f t="shared" si="892"/>
        <v>148.50000000000006</v>
      </c>
      <c r="X311" s="39">
        <f t="shared" si="893"/>
        <v>3.6610639730639806E-2</v>
      </c>
      <c r="Y311" s="40">
        <f t="shared" si="894"/>
        <v>5.4366800000000132E-2</v>
      </c>
      <c r="Z311" s="41">
        <f t="shared" si="895"/>
        <v>543.66800000000137</v>
      </c>
      <c r="AA311" s="13" t="s">
        <v>57</v>
      </c>
      <c r="AT311" s="37">
        <v>10.3</v>
      </c>
      <c r="AU311" s="37">
        <v>10</v>
      </c>
      <c r="AV311" s="10">
        <f t="shared" si="866"/>
        <v>5.75</v>
      </c>
      <c r="AW311" s="10">
        <f t="shared" si="867"/>
        <v>11.58</v>
      </c>
      <c r="AZ311" t="str">
        <f t="shared" si="868"/>
        <v>Yes</v>
      </c>
      <c r="BB311" s="37">
        <f t="shared" si="869"/>
        <v>-0.5</v>
      </c>
      <c r="BC311" s="37">
        <f t="shared" si="590"/>
        <v>-1.5</v>
      </c>
      <c r="BD311" s="37">
        <f t="shared" si="870"/>
        <v>-1.5</v>
      </c>
      <c r="BE311" s="37">
        <f t="shared" si="871"/>
        <v>-0.5</v>
      </c>
      <c r="BF311" s="13" cm="1">
        <f t="array" ref="BF311">SUMPRODUCT((1/COUNTIFS($A$3:$A311,$A$3:$A311,$H$3:$H311,$H$3:$H311,$I$3:$I311,$I$3:$I311)))</f>
        <v>158.99999999999994</v>
      </c>
    </row>
    <row r="312" spans="1:58" x14ac:dyDescent="0.2">
      <c r="A312" s="91">
        <v>46326</v>
      </c>
      <c r="C312" s="37">
        <v>10.31</v>
      </c>
      <c r="D312" s="13" t="s">
        <v>133</v>
      </c>
      <c r="E312" s="13" t="s">
        <v>134</v>
      </c>
      <c r="H312" t="s">
        <v>138</v>
      </c>
      <c r="I312" s="13">
        <v>10</v>
      </c>
      <c r="J312" s="13">
        <v>13</v>
      </c>
      <c r="K312" t="s">
        <v>543</v>
      </c>
      <c r="L312" s="37">
        <v>0.5</v>
      </c>
      <c r="M312" s="37">
        <v>15.5</v>
      </c>
      <c r="N312" s="37">
        <v>15.5</v>
      </c>
      <c r="O312" s="37" t="s">
        <v>17</v>
      </c>
      <c r="Q312" s="13" t="s">
        <v>4</v>
      </c>
      <c r="R312" s="37">
        <v>14.34</v>
      </c>
      <c r="S312" s="13" t="s">
        <v>136</v>
      </c>
      <c r="T312" s="38" t="str">
        <f t="shared" si="785"/>
        <v>0.00</v>
      </c>
      <c r="U312" s="38">
        <f t="shared" ref="U312" si="896">BE312</f>
        <v>-0.5</v>
      </c>
      <c r="V312" s="38">
        <f t="shared" ref="V312" si="897">V311+U312</f>
        <v>4.9366800000000133</v>
      </c>
      <c r="W312" s="38">
        <f t="shared" ref="W312" si="898">W311+L312</f>
        <v>149.00000000000006</v>
      </c>
      <c r="X312" s="39">
        <f t="shared" ref="X312" si="899">SUM(V312/W312)</f>
        <v>3.3132080536912828E-2</v>
      </c>
      <c r="Y312" s="40">
        <f t="shared" ref="Y312" si="900">V312/100</f>
        <v>4.9366800000000134E-2</v>
      </c>
      <c r="Z312" s="41">
        <f t="shared" ref="Z312" si="901">V312*100</f>
        <v>493.66800000000131</v>
      </c>
      <c r="AA312" s="13" t="s">
        <v>57</v>
      </c>
      <c r="AT312" s="37">
        <v>13.1</v>
      </c>
      <c r="AU312" s="37">
        <v>14</v>
      </c>
      <c r="AV312" s="10">
        <f t="shared" si="866"/>
        <v>7.25</v>
      </c>
      <c r="AW312" s="10">
        <f t="shared" si="867"/>
        <v>14.34</v>
      </c>
      <c r="AZ312" t="str">
        <f t="shared" si="868"/>
        <v>Yes</v>
      </c>
      <c r="BB312" s="37">
        <f t="shared" si="869"/>
        <v>-0.5</v>
      </c>
      <c r="BC312" s="37">
        <f t="shared" si="590"/>
        <v>-0.5</v>
      </c>
      <c r="BD312" s="37">
        <f t="shared" si="870"/>
        <v>-0.5</v>
      </c>
      <c r="BE312" s="37">
        <f t="shared" si="871"/>
        <v>-0.5</v>
      </c>
      <c r="BF312" s="13" cm="1">
        <f t="array" ref="BF312">SUMPRODUCT((1/COUNTIFS($A$3:$A312,$A$3:$A312,$H$3:$H312,$H$3:$H312,$I$3:$I312,$I$3:$I312)))</f>
        <v>159.99999999999994</v>
      </c>
    </row>
    <row r="313" spans="1:58" x14ac:dyDescent="0.2">
      <c r="A313" s="91">
        <v>46326</v>
      </c>
      <c r="C313" s="37">
        <v>10.31</v>
      </c>
      <c r="D313" s="13" t="s">
        <v>133</v>
      </c>
      <c r="E313" s="13" t="s">
        <v>142</v>
      </c>
      <c r="H313" t="s">
        <v>140</v>
      </c>
      <c r="I313" s="13">
        <v>9</v>
      </c>
      <c r="J313" s="13">
        <v>1</v>
      </c>
      <c r="K313" t="s">
        <v>514</v>
      </c>
      <c r="L313" s="37">
        <v>0.5</v>
      </c>
      <c r="M313" s="37">
        <v>22</v>
      </c>
      <c r="N313" s="37">
        <v>22</v>
      </c>
      <c r="O313" s="37" t="s">
        <v>17</v>
      </c>
      <c r="Q313" s="13" t="s">
        <v>4</v>
      </c>
      <c r="R313" s="37">
        <v>20.32</v>
      </c>
      <c r="S313" s="13" t="s">
        <v>136</v>
      </c>
      <c r="T313" s="38" t="str">
        <f t="shared" si="785"/>
        <v>0.00</v>
      </c>
      <c r="U313" s="38">
        <f t="shared" ref="U313:U316" si="902">BE313</f>
        <v>-0.5</v>
      </c>
      <c r="V313" s="38">
        <f t="shared" ref="V313:V316" si="903">V312+U313</f>
        <v>4.4366800000000133</v>
      </c>
      <c r="W313" s="38">
        <f t="shared" ref="W313:W316" si="904">W312+L313</f>
        <v>149.50000000000006</v>
      </c>
      <c r="X313" s="39">
        <f t="shared" ref="X313:X316" si="905">SUM(V313/W313)</f>
        <v>2.9676789297658941E-2</v>
      </c>
      <c r="Y313" s="40">
        <f t="shared" ref="Y313:Y316" si="906">V313/100</f>
        <v>4.436680000000013E-2</v>
      </c>
      <c r="Z313" s="41">
        <f t="shared" ref="Z313:Z316" si="907">V313*100</f>
        <v>443.66800000000131</v>
      </c>
      <c r="AA313" s="13" t="s">
        <v>57</v>
      </c>
      <c r="AT313" s="37">
        <v>18.899999999999999</v>
      </c>
      <c r="AU313" s="37">
        <v>15</v>
      </c>
      <c r="AV313" s="10">
        <f t="shared" si="866"/>
        <v>10.5</v>
      </c>
      <c r="AW313" s="10">
        <f t="shared" si="867"/>
        <v>20.32</v>
      </c>
      <c r="AZ313" t="str">
        <f t="shared" si="868"/>
        <v>Yes</v>
      </c>
      <c r="BB313" s="37">
        <f t="shared" si="869"/>
        <v>-0.5</v>
      </c>
      <c r="BC313" s="37">
        <f t="shared" si="590"/>
        <v>-0.5</v>
      </c>
      <c r="BD313" s="37">
        <f t="shared" si="870"/>
        <v>-0.5</v>
      </c>
      <c r="BE313" s="37">
        <f t="shared" si="871"/>
        <v>-0.5</v>
      </c>
      <c r="BF313" s="13" cm="1">
        <f t="array" ref="BF313">SUMPRODUCT((1/COUNTIFS($A$3:$A313,$A$3:$A313,$H$3:$H313,$H$3:$H313,$I$3:$I313,$I$3:$I313)))</f>
        <v>160.99999999999994</v>
      </c>
    </row>
    <row r="314" spans="1:58" x14ac:dyDescent="0.2">
      <c r="A314" s="91">
        <v>46326</v>
      </c>
      <c r="C314" s="37">
        <v>10.31</v>
      </c>
      <c r="D314" s="13" t="s">
        <v>133</v>
      </c>
      <c r="E314" s="13" t="s">
        <v>142</v>
      </c>
      <c r="H314" t="s">
        <v>140</v>
      </c>
      <c r="I314" s="13">
        <v>10</v>
      </c>
      <c r="J314" s="13">
        <v>2</v>
      </c>
      <c r="K314" s="92" t="s">
        <v>546</v>
      </c>
      <c r="L314" s="37">
        <v>0.5</v>
      </c>
      <c r="M314" s="37">
        <v>9</v>
      </c>
      <c r="N314" s="37">
        <v>9</v>
      </c>
      <c r="O314" s="37" t="s">
        <v>17</v>
      </c>
      <c r="Q314" s="13" t="s">
        <v>4</v>
      </c>
      <c r="R314" s="37">
        <v>8.36</v>
      </c>
      <c r="S314" s="13">
        <v>3</v>
      </c>
      <c r="T314" s="38" t="str">
        <f t="shared" si="785"/>
        <v>0.00</v>
      </c>
      <c r="U314" s="38">
        <f t="shared" si="902"/>
        <v>-0.5</v>
      </c>
      <c r="V314" s="38">
        <f t="shared" si="903"/>
        <v>3.9366800000000133</v>
      </c>
      <c r="W314" s="38">
        <f t="shared" si="904"/>
        <v>150.00000000000006</v>
      </c>
      <c r="X314" s="39">
        <f t="shared" si="905"/>
        <v>2.6244533333333413E-2</v>
      </c>
      <c r="Y314" s="40">
        <f t="shared" si="906"/>
        <v>3.9366800000000132E-2</v>
      </c>
      <c r="Z314" s="41">
        <f t="shared" si="907"/>
        <v>393.66800000000131</v>
      </c>
      <c r="AA314" s="13" t="s">
        <v>57</v>
      </c>
      <c r="AT314" s="37">
        <v>8</v>
      </c>
      <c r="AU314" s="37">
        <v>9</v>
      </c>
      <c r="AV314" s="10">
        <f t="shared" ref="AV314:AV316" si="908">((N314*(L314))-(L314))</f>
        <v>4</v>
      </c>
      <c r="AW314" s="10">
        <f t="shared" ref="AW314:AW316" si="909">0.92*(N314-1)+1</f>
        <v>8.36</v>
      </c>
      <c r="AZ314" t="str">
        <f t="shared" ref="AZ314:AZ316" si="910">IF(N314&gt;=M314,"Yes","No")</f>
        <v>Yes</v>
      </c>
      <c r="BB314" s="37">
        <f t="shared" ref="BB314:BB316" si="911">IF(AA314="W",
   L314*(N314-1),
   -L314
)</f>
        <v>-0.5</v>
      </c>
      <c r="BC314" s="37">
        <f t="shared" si="590"/>
        <v>-1.5</v>
      </c>
      <c r="BD314" s="37">
        <f t="shared" ref="BD314:BD316" si="912">IF(BC314&gt;0, BC314*0.92, BC314)</f>
        <v>-1.5</v>
      </c>
      <c r="BE314" s="37">
        <f t="shared" ref="BE314:BE316" si="913">IF(
  BC314&gt;0,
  IF(
    AA314="W",
    BB314 - (BC314 - BD314),
    BB314
  ),
  BB314
)</f>
        <v>-0.5</v>
      </c>
      <c r="BF314" s="13" cm="1">
        <f t="array" ref="BF314">SUMPRODUCT((1/COUNTIFS($A$3:$A314,$A$3:$A314,$H$3:$H314,$H$3:$H314,$I$3:$I314,$I$3:$I314)))</f>
        <v>161.99999999999994</v>
      </c>
    </row>
    <row r="315" spans="1:58" x14ac:dyDescent="0.2">
      <c r="A315" s="91">
        <v>46326</v>
      </c>
      <c r="C315" s="37">
        <v>10.31</v>
      </c>
      <c r="D315" s="13" t="s">
        <v>133</v>
      </c>
      <c r="E315" s="13" t="s">
        <v>142</v>
      </c>
      <c r="H315" t="s">
        <v>140</v>
      </c>
      <c r="I315" s="13">
        <v>10</v>
      </c>
      <c r="J315" s="13">
        <v>5</v>
      </c>
      <c r="K315" t="s">
        <v>509</v>
      </c>
      <c r="L315" s="37">
        <v>0.5</v>
      </c>
      <c r="M315" s="37">
        <v>13</v>
      </c>
      <c r="N315" s="37">
        <v>17</v>
      </c>
      <c r="O315" s="37" t="s">
        <v>17</v>
      </c>
      <c r="Q315" s="13" t="s">
        <v>4</v>
      </c>
      <c r="R315" s="37">
        <v>15.72</v>
      </c>
      <c r="S315" s="13" t="s">
        <v>136</v>
      </c>
      <c r="T315" s="38" t="str">
        <f t="shared" si="785"/>
        <v>0.00</v>
      </c>
      <c r="U315" s="38">
        <f t="shared" si="902"/>
        <v>-0.5</v>
      </c>
      <c r="V315" s="38">
        <f t="shared" si="903"/>
        <v>3.4366800000000133</v>
      </c>
      <c r="W315" s="38">
        <f t="shared" si="904"/>
        <v>150.50000000000006</v>
      </c>
      <c r="X315" s="39">
        <f t="shared" si="905"/>
        <v>2.2835083056478484E-2</v>
      </c>
      <c r="Y315" s="40">
        <f t="shared" si="906"/>
        <v>3.4366800000000135E-2</v>
      </c>
      <c r="Z315" s="41">
        <f t="shared" si="907"/>
        <v>343.66800000000131</v>
      </c>
      <c r="AA315" s="13" t="s">
        <v>57</v>
      </c>
      <c r="AT315" s="37">
        <v>15</v>
      </c>
      <c r="AU315" s="37">
        <v>19</v>
      </c>
      <c r="AV315" s="10">
        <f t="shared" si="908"/>
        <v>8</v>
      </c>
      <c r="AW315" s="10">
        <f t="shared" si="909"/>
        <v>15.72</v>
      </c>
      <c r="AZ315" t="str">
        <f t="shared" si="910"/>
        <v>Yes</v>
      </c>
      <c r="BB315" s="37">
        <f t="shared" si="911"/>
        <v>-0.5</v>
      </c>
      <c r="BC315" s="37">
        <f t="shared" si="590"/>
        <v>-1.5</v>
      </c>
      <c r="BD315" s="37">
        <f t="shared" si="912"/>
        <v>-1.5</v>
      </c>
      <c r="BE315" s="37">
        <f t="shared" si="913"/>
        <v>-0.5</v>
      </c>
      <c r="BF315" s="13" cm="1">
        <f t="array" ref="BF315">SUMPRODUCT((1/COUNTIFS($A$3:$A315,$A$3:$A315,$H$3:$H315,$H$3:$H315,$I$3:$I315,$I$3:$I315)))</f>
        <v>161.99999999999994</v>
      </c>
    </row>
    <row r="316" spans="1:58" x14ac:dyDescent="0.2">
      <c r="A316" s="91">
        <v>46326</v>
      </c>
      <c r="C316" s="37">
        <v>10.31</v>
      </c>
      <c r="D316" s="13" t="s">
        <v>133</v>
      </c>
      <c r="E316" s="13" t="s">
        <v>142</v>
      </c>
      <c r="H316" t="s">
        <v>140</v>
      </c>
      <c r="I316" s="13">
        <v>10</v>
      </c>
      <c r="J316" s="13">
        <v>11</v>
      </c>
      <c r="K316" s="98" t="s">
        <v>547</v>
      </c>
      <c r="L316" s="37">
        <v>0.5</v>
      </c>
      <c r="M316" s="37">
        <v>10</v>
      </c>
      <c r="N316" s="37">
        <v>18</v>
      </c>
      <c r="O316" s="37" t="s">
        <v>17</v>
      </c>
      <c r="Q316" s="13" t="s">
        <v>4</v>
      </c>
      <c r="R316" s="37">
        <v>16.64</v>
      </c>
      <c r="S316" s="13">
        <v>4</v>
      </c>
      <c r="T316" s="38" t="str">
        <f t="shared" si="785"/>
        <v>0.00</v>
      </c>
      <c r="U316" s="38">
        <f t="shared" si="902"/>
        <v>-0.5</v>
      </c>
      <c r="V316" s="38">
        <f t="shared" si="903"/>
        <v>2.9366800000000133</v>
      </c>
      <c r="W316" s="38">
        <f t="shared" si="904"/>
        <v>151.00000000000006</v>
      </c>
      <c r="X316" s="39">
        <f t="shared" si="905"/>
        <v>1.9448211920529881E-2</v>
      </c>
      <c r="Y316" s="40">
        <f t="shared" si="906"/>
        <v>2.9366800000000134E-2</v>
      </c>
      <c r="Z316" s="41">
        <f t="shared" si="907"/>
        <v>293.66800000000131</v>
      </c>
      <c r="AA316" s="13" t="s">
        <v>57</v>
      </c>
      <c r="AT316" s="37">
        <v>13</v>
      </c>
      <c r="AU316" s="37">
        <v>13</v>
      </c>
      <c r="AV316" s="10">
        <f t="shared" si="908"/>
        <v>8.5</v>
      </c>
      <c r="AW316" s="10">
        <f t="shared" si="909"/>
        <v>16.64</v>
      </c>
      <c r="AZ316" t="str">
        <f t="shared" si="910"/>
        <v>Yes</v>
      </c>
      <c r="BB316" s="37">
        <f t="shared" si="911"/>
        <v>-0.5</v>
      </c>
      <c r="BC316" s="37">
        <f t="shared" si="590"/>
        <v>-1.5</v>
      </c>
      <c r="BD316" s="37">
        <f t="shared" si="912"/>
        <v>-1.5</v>
      </c>
      <c r="BE316" s="37">
        <f t="shared" si="913"/>
        <v>-0.5</v>
      </c>
      <c r="BF316" s="13" cm="1">
        <f t="array" ref="BF316">SUMPRODUCT((1/COUNTIFS($A$3:$A316,$A$3:$A316,$H$3:$H316,$H$3:$H316,$I$3:$I316,$I$3:$I316)))</f>
        <v>161.99999999999997</v>
      </c>
    </row>
    <row r="317" spans="1:58" x14ac:dyDescent="0.2">
      <c r="A317" s="91"/>
      <c r="C317" s="37"/>
      <c r="D317" s="13"/>
      <c r="E317" s="13"/>
      <c r="I317" s="13"/>
      <c r="J317" s="13"/>
      <c r="L317" s="37"/>
      <c r="M317" s="37"/>
      <c r="N317" s="37"/>
      <c r="O317" s="37"/>
      <c r="Q317" s="13"/>
      <c r="R317" s="37"/>
      <c r="S317" s="13"/>
      <c r="T317" s="38"/>
      <c r="U317" s="38"/>
      <c r="V317" s="38"/>
      <c r="W317" s="38"/>
      <c r="X317" s="39"/>
      <c r="Y317" s="40"/>
      <c r="Z317" s="41"/>
      <c r="AA317" s="13"/>
      <c r="AT317" s="37"/>
      <c r="AU317" s="37"/>
      <c r="AV317" s="10"/>
      <c r="AW317" s="10"/>
      <c r="BB317" s="37"/>
      <c r="BC317" s="37"/>
      <c r="BD317" s="37"/>
      <c r="BE317" s="37"/>
      <c r="BF317" s="13"/>
    </row>
    <row r="318" spans="1:58" x14ac:dyDescent="0.2">
      <c r="A318" s="91"/>
      <c r="C318" s="37"/>
      <c r="D318" s="13"/>
      <c r="E318" s="13"/>
      <c r="I318" s="13"/>
      <c r="J318" s="13"/>
      <c r="L318" s="37"/>
      <c r="M318" s="37"/>
      <c r="N318" s="37"/>
      <c r="O318" s="37"/>
      <c r="Q318" s="13"/>
      <c r="R318" s="37"/>
      <c r="S318" s="13"/>
      <c r="T318" s="38"/>
      <c r="U318" s="38"/>
      <c r="V318" s="38"/>
      <c r="W318" s="38"/>
      <c r="X318" s="39"/>
      <c r="Y318" s="40"/>
      <c r="Z318" s="41"/>
      <c r="AA318" s="13"/>
      <c r="AT318" s="37"/>
      <c r="AU318" s="37"/>
      <c r="AV318" s="10"/>
      <c r="AW318" s="10"/>
      <c r="BB318" s="37"/>
      <c r="BC318" s="37"/>
      <c r="BD318" s="37"/>
      <c r="BE318" s="37"/>
      <c r="BF318" s="13"/>
    </row>
    <row r="319" spans="1:58" x14ac:dyDescent="0.2">
      <c r="A319" s="91"/>
      <c r="C319" s="37"/>
      <c r="D319" s="13"/>
      <c r="E319" s="13"/>
      <c r="I319" s="13"/>
      <c r="J319" s="13"/>
      <c r="L319" s="37"/>
      <c r="M319" s="37"/>
      <c r="N319" s="37"/>
      <c r="O319" s="37"/>
      <c r="Q319" s="13"/>
      <c r="R319" s="37"/>
      <c r="S319" s="13"/>
      <c r="T319" s="38"/>
      <c r="U319" s="38"/>
      <c r="V319" s="38"/>
      <c r="W319" s="38"/>
      <c r="X319" s="39"/>
      <c r="Y319" s="40"/>
      <c r="Z319" s="41"/>
      <c r="AA319" s="13"/>
      <c r="AT319" s="37"/>
      <c r="AU319" s="37"/>
      <c r="AV319" s="10"/>
      <c r="AW319" s="10"/>
      <c r="BB319" s="37"/>
      <c r="BC319" s="37"/>
      <c r="BD319" s="37"/>
      <c r="BE319" s="37"/>
      <c r="BF319" s="13"/>
    </row>
    <row r="320" spans="1:58" x14ac:dyDescent="0.2">
      <c r="A320" s="91"/>
      <c r="C320" s="37"/>
      <c r="D320" s="13"/>
      <c r="E320" s="13"/>
      <c r="I320" s="13"/>
      <c r="J320" s="13"/>
      <c r="L320" s="37"/>
      <c r="M320" s="37"/>
      <c r="N320" s="37"/>
      <c r="O320" s="37"/>
      <c r="Q320" s="13"/>
      <c r="R320" s="37"/>
      <c r="S320" s="13"/>
      <c r="T320" s="38"/>
      <c r="U320" s="38"/>
      <c r="V320" s="38"/>
      <c r="W320" s="38"/>
      <c r="X320" s="39"/>
      <c r="Y320" s="40"/>
      <c r="Z320" s="41"/>
      <c r="AA320" s="13"/>
      <c r="AT320" s="37"/>
      <c r="AU320" s="37"/>
      <c r="AV320" s="10"/>
      <c r="AW320" s="10"/>
      <c r="BB320" s="37"/>
      <c r="BC320" s="37"/>
      <c r="BD320" s="37"/>
      <c r="BE320" s="37"/>
      <c r="BF320" s="13"/>
    </row>
    <row r="321" spans="1:58" x14ac:dyDescent="0.2">
      <c r="A321" s="91"/>
      <c r="C321" s="37"/>
      <c r="D321" s="13"/>
      <c r="E321" s="13"/>
      <c r="I321" s="13"/>
      <c r="J321" s="13"/>
      <c r="L321" s="37"/>
      <c r="M321" s="37"/>
      <c r="N321" s="37"/>
      <c r="O321" s="37"/>
      <c r="Q321" s="13"/>
      <c r="R321" s="37"/>
      <c r="S321" s="13"/>
      <c r="T321" s="38"/>
      <c r="U321" s="38"/>
      <c r="V321" s="38"/>
      <c r="W321" s="38"/>
      <c r="X321" s="39"/>
      <c r="Y321" s="40"/>
      <c r="Z321" s="41"/>
      <c r="AA321" s="13"/>
      <c r="AT321" s="37"/>
      <c r="AU321" s="37"/>
      <c r="AV321" s="10"/>
      <c r="AW321" s="10"/>
      <c r="BB321" s="37"/>
      <c r="BC321" s="37"/>
      <c r="BD321" s="37"/>
      <c r="BE321" s="37"/>
      <c r="BF321" s="13"/>
    </row>
    <row r="322" spans="1:58" x14ac:dyDescent="0.2">
      <c r="A322" s="91"/>
      <c r="C322" s="37"/>
      <c r="D322" s="13"/>
      <c r="E322" s="13"/>
      <c r="I322" s="13"/>
      <c r="J322" s="13"/>
      <c r="L322" s="37"/>
      <c r="M322" s="37"/>
      <c r="N322" s="37"/>
      <c r="O322" s="37"/>
      <c r="Q322" s="13"/>
      <c r="R322" s="37"/>
      <c r="S322" s="13"/>
      <c r="T322" s="38"/>
      <c r="U322" s="38"/>
      <c r="V322" s="38"/>
      <c r="W322" s="38"/>
      <c r="X322" s="39"/>
      <c r="Y322" s="40"/>
      <c r="Z322" s="41"/>
      <c r="AA322" s="13"/>
      <c r="AT322" s="37"/>
      <c r="AU322" s="37"/>
      <c r="AV322" s="10"/>
      <c r="AW322" s="10"/>
      <c r="BB322" s="37"/>
      <c r="BC322" s="37"/>
      <c r="BD322" s="37"/>
      <c r="BE322" s="37"/>
      <c r="BF322" s="13"/>
    </row>
    <row r="323" spans="1:58" x14ac:dyDescent="0.2">
      <c r="A323" s="91"/>
      <c r="C323" s="37"/>
      <c r="D323" s="13"/>
      <c r="E323" s="13"/>
      <c r="I323" s="13"/>
      <c r="J323" s="13"/>
      <c r="L323" s="37"/>
      <c r="M323" s="37"/>
      <c r="N323" s="37"/>
      <c r="O323" s="37"/>
      <c r="Q323" s="13"/>
      <c r="R323" s="37"/>
      <c r="S323" s="13"/>
      <c r="T323" s="38"/>
      <c r="U323" s="38"/>
      <c r="V323" s="38"/>
      <c r="W323" s="38"/>
      <c r="X323" s="39"/>
      <c r="Y323" s="40"/>
      <c r="Z323" s="41"/>
      <c r="AA323" s="13"/>
      <c r="AT323" s="37"/>
      <c r="AU323" s="37"/>
      <c r="AV323" s="10"/>
      <c r="AW323" s="10"/>
      <c r="BB323" s="37"/>
      <c r="BC323" s="37"/>
      <c r="BD323" s="37"/>
      <c r="BE323" s="37"/>
      <c r="BF323" s="13"/>
    </row>
    <row r="324" spans="1:58" x14ac:dyDescent="0.2">
      <c r="A324" s="91"/>
      <c r="C324" s="37"/>
      <c r="D324" s="13"/>
      <c r="E324" s="13"/>
      <c r="I324" s="13"/>
      <c r="J324" s="13"/>
      <c r="L324" s="37"/>
      <c r="M324" s="37"/>
      <c r="N324" s="37"/>
      <c r="O324" s="37"/>
      <c r="Q324" s="13"/>
      <c r="R324" s="37"/>
      <c r="S324" s="13"/>
      <c r="T324" s="38"/>
      <c r="U324" s="38"/>
      <c r="V324" s="38"/>
      <c r="W324" s="38"/>
      <c r="X324" s="39"/>
      <c r="Y324" s="40"/>
      <c r="Z324" s="41"/>
      <c r="AA324" s="13"/>
      <c r="AT324" s="37"/>
      <c r="AU324" s="37"/>
      <c r="AV324" s="10"/>
      <c r="AW324" s="10"/>
      <c r="BB324" s="37"/>
      <c r="BC324" s="37"/>
      <c r="BD324" s="37"/>
      <c r="BE324" s="37"/>
      <c r="BF324" s="13"/>
    </row>
    <row r="325" spans="1:58" x14ac:dyDescent="0.2">
      <c r="A325" s="91"/>
      <c r="C325" s="37"/>
      <c r="D325" s="13"/>
      <c r="E325" s="13"/>
      <c r="I325" s="13"/>
      <c r="J325" s="13"/>
      <c r="L325" s="37"/>
      <c r="M325" s="37"/>
      <c r="N325" s="37"/>
      <c r="O325" s="37"/>
      <c r="Q325" s="13"/>
      <c r="R325" s="37"/>
      <c r="S325" s="13"/>
      <c r="T325" s="38"/>
      <c r="U325" s="38"/>
      <c r="V325" s="38"/>
      <c r="W325" s="38"/>
      <c r="X325" s="39"/>
      <c r="Y325" s="40"/>
      <c r="Z325" s="41"/>
      <c r="AA325" s="13"/>
      <c r="AT325" s="37"/>
      <c r="AU325" s="37"/>
      <c r="AV325" s="10"/>
      <c r="AW325" s="10"/>
      <c r="BB325" s="37"/>
      <c r="BC325" s="37"/>
      <c r="BD325" s="37"/>
      <c r="BE325" s="37"/>
      <c r="BF325" s="13"/>
    </row>
    <row r="326" spans="1:58" x14ac:dyDescent="0.2">
      <c r="A326" s="91"/>
      <c r="C326" s="37"/>
      <c r="D326" s="13"/>
      <c r="E326" s="13"/>
      <c r="I326" s="13"/>
      <c r="J326" s="13"/>
      <c r="L326" s="37"/>
      <c r="M326" s="37"/>
      <c r="N326" s="37"/>
      <c r="O326" s="37"/>
      <c r="Q326" s="13"/>
      <c r="R326" s="37"/>
      <c r="S326" s="13"/>
      <c r="T326" s="38"/>
      <c r="U326" s="38"/>
      <c r="V326" s="38"/>
      <c r="W326" s="38"/>
      <c r="X326" s="39"/>
      <c r="Y326" s="40"/>
      <c r="Z326" s="41"/>
      <c r="AA326" s="13"/>
      <c r="AT326" s="37"/>
      <c r="AU326" s="37"/>
      <c r="AV326" s="10"/>
      <c r="AW326" s="10"/>
      <c r="BB326" s="37"/>
      <c r="BC326" s="37"/>
      <c r="BD326" s="37"/>
      <c r="BE326" s="37"/>
      <c r="BF326" s="13"/>
    </row>
    <row r="327" spans="1:58" x14ac:dyDescent="0.2">
      <c r="A327" s="91"/>
      <c r="C327" s="37"/>
      <c r="D327" s="13"/>
      <c r="E327" s="13"/>
      <c r="I327" s="13"/>
      <c r="J327" s="13"/>
      <c r="L327" s="37"/>
      <c r="M327" s="37"/>
      <c r="N327" s="37"/>
      <c r="O327" s="37"/>
      <c r="Q327" s="13"/>
      <c r="R327" s="37"/>
      <c r="S327" s="13"/>
      <c r="T327" s="38"/>
      <c r="U327" s="38"/>
      <c r="V327" s="38"/>
      <c r="W327" s="38"/>
      <c r="X327" s="39"/>
      <c r="Y327" s="40"/>
      <c r="Z327" s="41"/>
      <c r="AA327" s="13"/>
      <c r="AT327" s="37"/>
      <c r="AU327" s="37"/>
      <c r="AV327" s="10"/>
      <c r="AW327" s="10"/>
      <c r="BB327" s="37"/>
      <c r="BC327" s="37"/>
      <c r="BD327" s="37"/>
      <c r="BE327" s="37"/>
      <c r="BF327" s="13"/>
    </row>
    <row r="328" spans="1:58" x14ac:dyDescent="0.2">
      <c r="A328" s="91"/>
      <c r="C328" s="37"/>
      <c r="D328" s="13"/>
      <c r="E328" s="13"/>
      <c r="I328" s="13"/>
      <c r="J328" s="13"/>
      <c r="L328" s="37"/>
      <c r="M328" s="37"/>
      <c r="N328" s="37"/>
      <c r="O328" s="37"/>
      <c r="Q328" s="13"/>
      <c r="R328" s="37"/>
      <c r="S328" s="13"/>
      <c r="T328" s="38"/>
      <c r="U328" s="38"/>
      <c r="V328" s="38"/>
      <c r="W328" s="38"/>
      <c r="X328" s="39"/>
      <c r="Y328" s="40"/>
      <c r="Z328" s="41"/>
      <c r="AA328" s="13"/>
      <c r="AT328" s="37"/>
      <c r="AU328" s="37"/>
      <c r="AV328" s="10"/>
      <c r="AW328" s="10"/>
      <c r="BB328" s="37"/>
      <c r="BC328" s="37"/>
      <c r="BD328" s="37"/>
      <c r="BE328" s="37"/>
      <c r="BF328" s="13"/>
    </row>
    <row r="329" spans="1:58" x14ac:dyDescent="0.2">
      <c r="A329" s="91"/>
      <c r="C329" s="37"/>
      <c r="D329" s="13"/>
      <c r="E329" s="13"/>
      <c r="I329" s="13"/>
      <c r="J329" s="13"/>
      <c r="L329" s="37"/>
      <c r="M329" s="37"/>
      <c r="N329" s="37"/>
      <c r="O329" s="37"/>
      <c r="Q329" s="13"/>
      <c r="R329" s="37"/>
      <c r="S329" s="13"/>
      <c r="T329" s="38"/>
      <c r="U329" s="38"/>
      <c r="V329" s="38"/>
      <c r="W329" s="38"/>
      <c r="X329" s="39"/>
      <c r="Y329" s="40"/>
      <c r="Z329" s="41"/>
      <c r="AA329" s="13"/>
      <c r="AT329" s="37"/>
      <c r="AU329" s="37"/>
      <c r="AV329" s="10"/>
      <c r="AW329" s="10"/>
      <c r="BB329" s="37"/>
      <c r="BC329" s="37"/>
      <c r="BD329" s="37"/>
      <c r="BE329" s="37"/>
      <c r="BF329" s="13"/>
    </row>
    <row r="330" spans="1:58" x14ac:dyDescent="0.2">
      <c r="A330" s="91"/>
      <c r="C330" s="37"/>
      <c r="D330" s="13"/>
      <c r="E330" s="13"/>
      <c r="I330" s="13"/>
      <c r="J330" s="13"/>
      <c r="L330" s="37"/>
      <c r="M330" s="37"/>
      <c r="N330" s="37"/>
      <c r="O330" s="37"/>
      <c r="Q330" s="13"/>
      <c r="R330" s="37"/>
      <c r="S330" s="13"/>
      <c r="T330" s="38"/>
      <c r="U330" s="38"/>
      <c r="V330" s="38"/>
      <c r="W330" s="38"/>
      <c r="X330" s="39"/>
      <c r="Y330" s="40"/>
      <c r="Z330" s="41"/>
      <c r="AA330" s="13"/>
      <c r="AT330" s="37"/>
      <c r="AU330" s="37"/>
      <c r="AV330" s="10"/>
      <c r="AW330" s="10"/>
      <c r="BB330" s="37"/>
      <c r="BC330" s="37"/>
      <c r="BD330" s="37"/>
      <c r="BE330" s="37"/>
      <c r="BF330" s="13"/>
    </row>
  </sheetData>
  <autoFilter ref="A2:BE316" xr:uid="{4F5A5929-2FC2-3F48-A432-ECC600EB3E2C}"/>
  <mergeCells count="4">
    <mergeCell ref="T1:Z1"/>
    <mergeCell ref="AB1:AC1"/>
    <mergeCell ref="AD1:AJ1"/>
    <mergeCell ref="AK1:AN1"/>
  </mergeCells>
  <phoneticPr fontId="7"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6B0E-68D9-594B-979D-A6AF6211ED16}">
  <sheetPr filterMode="1"/>
  <dimension ref="A1:M567"/>
  <sheetViews>
    <sheetView zoomScale="120" zoomScaleNormal="120" workbookViewId="0">
      <pane ySplit="1" topLeftCell="A538" activePane="bottomLeft" state="frozen"/>
      <selection pane="bottomLeft" activeCell="I565" sqref="I565:I567"/>
    </sheetView>
  </sheetViews>
  <sheetFormatPr baseColWidth="10" defaultColWidth="10.83203125" defaultRowHeight="16" customHeight="1" x14ac:dyDescent="0.2"/>
  <cols>
    <col min="4" max="4" width="10.83203125" style="93" customWidth="1"/>
    <col min="5" max="5" width="10.83203125" style="93"/>
    <col min="6" max="6" width="26.83203125" style="93" customWidth="1"/>
    <col min="7" max="8" width="10.83203125" style="95"/>
    <col min="10" max="10" width="10.83203125" customWidth="1"/>
    <col min="14" max="14" width="17.1640625" customWidth="1"/>
  </cols>
  <sheetData>
    <row r="1" spans="1:10" ht="16" customHeight="1" x14ac:dyDescent="0.2">
      <c r="A1" t="s">
        <v>58</v>
      </c>
      <c r="D1" s="93" t="s">
        <v>59</v>
      </c>
      <c r="E1" s="93" t="s">
        <v>60</v>
      </c>
      <c r="F1" s="93" t="s">
        <v>61</v>
      </c>
      <c r="G1" s="95" t="s">
        <v>62</v>
      </c>
      <c r="H1" s="95" t="s">
        <v>63</v>
      </c>
      <c r="I1" s="42" t="s">
        <v>17</v>
      </c>
      <c r="J1" t="s">
        <v>64</v>
      </c>
    </row>
    <row r="2" spans="1:10" ht="16" hidden="1" customHeight="1" x14ac:dyDescent="0.2">
      <c r="A2" s="43">
        <v>46267</v>
      </c>
      <c r="B2" s="43"/>
      <c r="C2" s="43"/>
      <c r="D2" s="93">
        <v>1</v>
      </c>
      <c r="E2" s="93">
        <v>7</v>
      </c>
      <c r="F2" s="94" t="s">
        <v>104</v>
      </c>
      <c r="G2" s="96">
        <v>6</v>
      </c>
      <c r="H2" s="97">
        <v>0.5</v>
      </c>
      <c r="I2" s="42">
        <v>4.82</v>
      </c>
      <c r="J2" t="str">
        <f>IF(I2&gt;=G2,"Yes","No")</f>
        <v>No</v>
      </c>
    </row>
    <row r="3" spans="1:10" ht="16" hidden="1" customHeight="1" x14ac:dyDescent="0.2">
      <c r="A3" s="43">
        <v>46267</v>
      </c>
      <c r="B3" s="43"/>
      <c r="C3" s="43"/>
      <c r="D3" s="93">
        <v>2</v>
      </c>
      <c r="E3" s="93">
        <v>2</v>
      </c>
      <c r="F3" s="93" t="s">
        <v>105</v>
      </c>
      <c r="G3" s="96">
        <v>11.5</v>
      </c>
      <c r="H3" s="97">
        <v>0.5</v>
      </c>
      <c r="I3">
        <v>11.5</v>
      </c>
      <c r="J3" t="str">
        <f t="shared" ref="J3:J65" si="0">IF(I3&gt;=G3,"Yes","No")</f>
        <v>Yes</v>
      </c>
    </row>
    <row r="4" spans="1:10" ht="16" hidden="1" customHeight="1" x14ac:dyDescent="0.2">
      <c r="A4" s="43">
        <v>46267</v>
      </c>
      <c r="B4" s="43"/>
      <c r="C4" s="43"/>
      <c r="D4" s="93">
        <v>2</v>
      </c>
      <c r="E4" s="93">
        <v>10</v>
      </c>
      <c r="F4" s="93" t="s">
        <v>106</v>
      </c>
      <c r="G4" s="96">
        <v>13</v>
      </c>
      <c r="H4" s="97">
        <v>0.5</v>
      </c>
      <c r="I4">
        <v>13</v>
      </c>
      <c r="J4" t="str">
        <f t="shared" si="0"/>
        <v>Yes</v>
      </c>
    </row>
    <row r="5" spans="1:10" ht="16" hidden="1" customHeight="1" x14ac:dyDescent="0.2">
      <c r="A5" s="43">
        <v>46267</v>
      </c>
      <c r="B5" s="43"/>
      <c r="C5" s="43"/>
      <c r="D5" s="93">
        <v>2</v>
      </c>
      <c r="E5" s="93">
        <v>14</v>
      </c>
      <c r="F5" s="93" t="s">
        <v>107</v>
      </c>
      <c r="G5" s="96">
        <v>22</v>
      </c>
      <c r="H5" s="97">
        <v>0.5</v>
      </c>
      <c r="I5">
        <v>14.36</v>
      </c>
      <c r="J5" t="str">
        <f t="shared" si="0"/>
        <v>No</v>
      </c>
    </row>
    <row r="6" spans="1:10" ht="16" hidden="1" customHeight="1" x14ac:dyDescent="0.2">
      <c r="A6" s="43">
        <v>46267</v>
      </c>
      <c r="B6" s="43"/>
      <c r="C6" s="43"/>
      <c r="D6" s="93">
        <v>2</v>
      </c>
      <c r="E6" s="93">
        <v>16</v>
      </c>
      <c r="F6" s="93" t="s">
        <v>108</v>
      </c>
      <c r="G6" s="96">
        <v>24</v>
      </c>
      <c r="H6" s="97">
        <v>0.5</v>
      </c>
      <c r="I6">
        <v>30.6</v>
      </c>
      <c r="J6" t="str">
        <f t="shared" si="0"/>
        <v>Yes</v>
      </c>
    </row>
    <row r="7" spans="1:10" ht="16" hidden="1" customHeight="1" x14ac:dyDescent="0.2">
      <c r="A7" s="43">
        <v>46267</v>
      </c>
      <c r="B7" s="43"/>
      <c r="C7" s="43"/>
      <c r="D7" s="93">
        <v>2</v>
      </c>
      <c r="E7" s="93">
        <v>17</v>
      </c>
      <c r="F7" s="93" t="s">
        <v>109</v>
      </c>
      <c r="G7" s="96">
        <v>26</v>
      </c>
      <c r="H7" s="97">
        <v>0.5</v>
      </c>
      <c r="I7">
        <v>25</v>
      </c>
      <c r="J7" t="str">
        <f t="shared" si="0"/>
        <v>No</v>
      </c>
    </row>
    <row r="8" spans="1:10" ht="16" hidden="1" customHeight="1" x14ac:dyDescent="0.2">
      <c r="A8" s="43">
        <v>46267</v>
      </c>
      <c r="B8" s="43"/>
      <c r="C8" s="43"/>
      <c r="D8" s="93">
        <v>3</v>
      </c>
      <c r="E8" s="93">
        <v>4</v>
      </c>
      <c r="F8" s="93" t="s">
        <v>110</v>
      </c>
      <c r="G8" s="96">
        <v>11.5</v>
      </c>
      <c r="H8" s="97">
        <v>0.5</v>
      </c>
      <c r="I8">
        <v>9.1999999999999993</v>
      </c>
      <c r="J8" t="str">
        <f t="shared" si="0"/>
        <v>No</v>
      </c>
    </row>
    <row r="9" spans="1:10" ht="16" hidden="1" customHeight="1" x14ac:dyDescent="0.2">
      <c r="A9" s="43">
        <v>46267</v>
      </c>
      <c r="B9" s="43"/>
      <c r="C9" s="43"/>
      <c r="D9" s="93">
        <v>3</v>
      </c>
      <c r="E9" s="93">
        <v>6</v>
      </c>
      <c r="F9" s="93" t="s">
        <v>111</v>
      </c>
      <c r="G9" s="96">
        <v>19.5</v>
      </c>
      <c r="H9" s="97">
        <v>0.5</v>
      </c>
      <c r="I9">
        <v>39</v>
      </c>
      <c r="J9" t="str">
        <f t="shared" si="0"/>
        <v>Yes</v>
      </c>
    </row>
    <row r="10" spans="1:10" ht="16" hidden="1" customHeight="1" x14ac:dyDescent="0.2">
      <c r="A10" s="43">
        <v>46267</v>
      </c>
      <c r="B10" s="43"/>
      <c r="C10" s="43"/>
      <c r="D10" s="93">
        <v>3</v>
      </c>
      <c r="E10" s="93">
        <v>7</v>
      </c>
      <c r="F10" s="93" t="s">
        <v>112</v>
      </c>
      <c r="G10" s="96">
        <v>9.1999999999999993</v>
      </c>
      <c r="H10" s="97">
        <v>0.5</v>
      </c>
      <c r="I10">
        <v>9.9499999999999993</v>
      </c>
      <c r="J10" t="str">
        <f t="shared" si="0"/>
        <v>Yes</v>
      </c>
    </row>
    <row r="11" spans="1:10" ht="16" hidden="1" customHeight="1" x14ac:dyDescent="0.2">
      <c r="A11" s="43">
        <v>46267</v>
      </c>
      <c r="B11" s="43"/>
      <c r="C11" s="43"/>
      <c r="D11" s="93">
        <v>4</v>
      </c>
      <c r="E11" s="93">
        <v>2</v>
      </c>
      <c r="F11" s="93" t="s">
        <v>113</v>
      </c>
      <c r="G11" s="96">
        <v>14</v>
      </c>
      <c r="H11" s="97">
        <v>0.5</v>
      </c>
      <c r="I11">
        <v>11.01</v>
      </c>
      <c r="J11" t="str">
        <f t="shared" si="0"/>
        <v>No</v>
      </c>
    </row>
    <row r="12" spans="1:10" ht="16" hidden="1" customHeight="1" x14ac:dyDescent="0.2">
      <c r="A12" s="43">
        <v>46267</v>
      </c>
      <c r="B12" s="43"/>
      <c r="C12" s="43"/>
      <c r="D12" s="93">
        <v>4</v>
      </c>
      <c r="E12" s="93">
        <v>4</v>
      </c>
      <c r="F12" s="93" t="s">
        <v>114</v>
      </c>
      <c r="G12" s="96">
        <v>22</v>
      </c>
      <c r="H12" s="97">
        <v>0.5</v>
      </c>
      <c r="I12">
        <v>17</v>
      </c>
      <c r="J12" t="str">
        <f t="shared" si="0"/>
        <v>No</v>
      </c>
    </row>
    <row r="13" spans="1:10" ht="16" hidden="1" customHeight="1" x14ac:dyDescent="0.2">
      <c r="A13" s="43">
        <v>46267</v>
      </c>
      <c r="B13" s="43"/>
      <c r="C13" s="43"/>
      <c r="D13" s="93">
        <v>4</v>
      </c>
      <c r="E13" s="93">
        <v>5</v>
      </c>
      <c r="F13" s="93" t="s">
        <v>115</v>
      </c>
      <c r="G13" s="96">
        <v>9.4</v>
      </c>
      <c r="H13" s="97">
        <v>0.5</v>
      </c>
      <c r="I13">
        <v>6.38</v>
      </c>
      <c r="J13" t="str">
        <f t="shared" si="0"/>
        <v>No</v>
      </c>
    </row>
    <row r="14" spans="1:10" ht="16" hidden="1" customHeight="1" x14ac:dyDescent="0.2">
      <c r="A14" s="43">
        <v>46267</v>
      </c>
      <c r="B14" s="43"/>
      <c r="C14" s="43"/>
      <c r="D14" s="93">
        <v>4</v>
      </c>
      <c r="E14" s="93">
        <v>9</v>
      </c>
      <c r="F14" s="93" t="s">
        <v>116</v>
      </c>
      <c r="G14" s="96">
        <v>10.5</v>
      </c>
      <c r="H14" s="97">
        <v>0.5</v>
      </c>
      <c r="I14">
        <v>11</v>
      </c>
      <c r="J14" t="str">
        <f t="shared" si="0"/>
        <v>Yes</v>
      </c>
    </row>
    <row r="15" spans="1:10" ht="16" hidden="1" customHeight="1" x14ac:dyDescent="0.2">
      <c r="A15" s="43">
        <v>46267</v>
      </c>
      <c r="B15" s="43"/>
      <c r="C15" s="43"/>
      <c r="D15" s="93">
        <v>4</v>
      </c>
      <c r="E15" s="93">
        <v>11</v>
      </c>
      <c r="F15" s="93" t="s">
        <v>117</v>
      </c>
      <c r="G15" s="96">
        <v>9.4</v>
      </c>
      <c r="H15" s="97">
        <v>0.5</v>
      </c>
      <c r="I15">
        <v>9.4</v>
      </c>
      <c r="J15" t="str">
        <f t="shared" si="0"/>
        <v>Yes</v>
      </c>
    </row>
    <row r="16" spans="1:10" ht="16" hidden="1" customHeight="1" x14ac:dyDescent="0.2">
      <c r="A16" s="43">
        <v>46267</v>
      </c>
      <c r="B16" s="43"/>
      <c r="C16" s="43"/>
      <c r="D16" s="93">
        <v>5</v>
      </c>
      <c r="E16" s="93">
        <v>1</v>
      </c>
      <c r="F16" s="93" t="s">
        <v>118</v>
      </c>
      <c r="G16" s="96">
        <v>30</v>
      </c>
      <c r="H16" s="97">
        <v>0.5</v>
      </c>
      <c r="I16">
        <v>50.81</v>
      </c>
      <c r="J16" t="str">
        <f t="shared" si="0"/>
        <v>Yes</v>
      </c>
    </row>
    <row r="17" spans="1:13" ht="16" hidden="1" customHeight="1" x14ac:dyDescent="0.2">
      <c r="A17" s="43">
        <v>46267</v>
      </c>
      <c r="B17" s="43"/>
      <c r="C17" s="43"/>
      <c r="D17" s="93">
        <v>5</v>
      </c>
      <c r="E17" s="93">
        <v>2</v>
      </c>
      <c r="F17" s="93" t="s">
        <v>119</v>
      </c>
      <c r="G17" s="96">
        <v>26</v>
      </c>
      <c r="H17" s="97">
        <v>0.5</v>
      </c>
      <c r="I17">
        <v>26</v>
      </c>
      <c r="J17" t="str">
        <f t="shared" si="0"/>
        <v>Yes</v>
      </c>
    </row>
    <row r="18" spans="1:13" ht="16" hidden="1" customHeight="1" x14ac:dyDescent="0.2">
      <c r="A18" s="43">
        <v>46267</v>
      </c>
      <c r="B18" s="43"/>
      <c r="C18" s="43"/>
      <c r="D18" s="93">
        <v>5</v>
      </c>
      <c r="E18" s="93">
        <v>7</v>
      </c>
      <c r="F18" s="93" t="s">
        <v>120</v>
      </c>
      <c r="G18" s="96">
        <v>12</v>
      </c>
      <c r="H18" s="97">
        <v>0.5</v>
      </c>
      <c r="I18">
        <v>11.5</v>
      </c>
      <c r="J18" t="str">
        <f t="shared" si="0"/>
        <v>No</v>
      </c>
    </row>
    <row r="19" spans="1:13" ht="16" hidden="1" customHeight="1" x14ac:dyDescent="0.2">
      <c r="A19" s="43">
        <v>46267</v>
      </c>
      <c r="B19" s="43"/>
      <c r="C19" s="43"/>
      <c r="D19" s="93">
        <v>5</v>
      </c>
      <c r="E19" s="93">
        <v>12</v>
      </c>
      <c r="F19" s="93" t="s">
        <v>121</v>
      </c>
      <c r="G19" s="96">
        <v>14.5</v>
      </c>
      <c r="H19" s="97">
        <v>0.5</v>
      </c>
      <c r="I19">
        <v>27</v>
      </c>
      <c r="J19" t="str">
        <f t="shared" si="0"/>
        <v>Yes</v>
      </c>
    </row>
    <row r="20" spans="1:13" ht="16" hidden="1" customHeight="1" x14ac:dyDescent="0.2">
      <c r="A20" s="43">
        <v>46267</v>
      </c>
      <c r="B20" s="43"/>
      <c r="C20" s="43"/>
      <c r="D20" s="93">
        <v>5</v>
      </c>
      <c r="E20" s="93">
        <v>14</v>
      </c>
      <c r="F20" s="93" t="s">
        <v>122</v>
      </c>
      <c r="G20" s="96">
        <v>12.5</v>
      </c>
      <c r="H20" s="97">
        <v>0.5</v>
      </c>
      <c r="I20">
        <v>9.69</v>
      </c>
      <c r="J20" t="str">
        <f t="shared" si="0"/>
        <v>No</v>
      </c>
    </row>
    <row r="21" spans="1:13" ht="16" hidden="1" customHeight="1" x14ac:dyDescent="0.2">
      <c r="A21" s="43">
        <v>46267</v>
      </c>
      <c r="B21" s="43"/>
      <c r="C21" s="43"/>
      <c r="D21" s="93">
        <v>6</v>
      </c>
      <c r="E21" s="93">
        <v>3</v>
      </c>
      <c r="F21" s="93" t="s">
        <v>123</v>
      </c>
      <c r="G21" s="96">
        <v>6</v>
      </c>
      <c r="H21" s="97">
        <v>0.5</v>
      </c>
      <c r="I21">
        <v>6.4</v>
      </c>
      <c r="J21" t="str">
        <f t="shared" si="0"/>
        <v>Yes</v>
      </c>
    </row>
    <row r="22" spans="1:13" ht="16" hidden="1" customHeight="1" x14ac:dyDescent="0.2">
      <c r="A22" s="43">
        <v>46267</v>
      </c>
      <c r="B22" s="43"/>
      <c r="C22" s="43"/>
      <c r="D22" s="93">
        <v>6</v>
      </c>
      <c r="E22" s="93">
        <v>4</v>
      </c>
      <c r="F22" s="93" t="s">
        <v>124</v>
      </c>
      <c r="G22" s="96">
        <v>9</v>
      </c>
      <c r="H22" s="97">
        <v>0.5</v>
      </c>
      <c r="I22">
        <v>10.5</v>
      </c>
      <c r="J22" t="str">
        <f t="shared" si="0"/>
        <v>Yes</v>
      </c>
    </row>
    <row r="23" spans="1:13" ht="16" hidden="1" customHeight="1" x14ac:dyDescent="0.2">
      <c r="A23" s="43">
        <v>46267</v>
      </c>
      <c r="B23" s="43"/>
      <c r="C23" s="43"/>
      <c r="D23" s="93">
        <v>6</v>
      </c>
      <c r="E23" s="93">
        <v>7</v>
      </c>
      <c r="F23" s="93" t="s">
        <v>125</v>
      </c>
      <c r="G23" s="96">
        <v>19</v>
      </c>
      <c r="H23" s="97">
        <v>0.5</v>
      </c>
      <c r="I23">
        <v>13.53</v>
      </c>
      <c r="J23" t="str">
        <f t="shared" si="0"/>
        <v>No</v>
      </c>
    </row>
    <row r="24" spans="1:13" ht="16" hidden="1" customHeight="1" x14ac:dyDescent="0.2">
      <c r="A24" s="43">
        <v>46267</v>
      </c>
      <c r="B24" s="43"/>
      <c r="C24" s="43"/>
      <c r="D24" s="93">
        <v>6</v>
      </c>
      <c r="E24" s="93">
        <v>10</v>
      </c>
      <c r="F24" s="93" t="s">
        <v>126</v>
      </c>
      <c r="G24" s="96">
        <v>10</v>
      </c>
      <c r="H24" s="97">
        <v>0.5</v>
      </c>
      <c r="I24">
        <v>12.61</v>
      </c>
      <c r="J24" t="str">
        <f t="shared" si="0"/>
        <v>Yes</v>
      </c>
    </row>
    <row r="25" spans="1:13" ht="16" hidden="1" customHeight="1" x14ac:dyDescent="0.2">
      <c r="A25" s="43">
        <v>46267</v>
      </c>
      <c r="B25" s="43"/>
      <c r="C25" s="43"/>
      <c r="D25" s="93">
        <v>6</v>
      </c>
      <c r="E25" s="93">
        <v>11</v>
      </c>
      <c r="F25" s="93" t="s">
        <v>127</v>
      </c>
      <c r="G25" s="96">
        <v>11</v>
      </c>
      <c r="H25" s="97">
        <v>0.5</v>
      </c>
      <c r="I25">
        <v>5.83</v>
      </c>
      <c r="J25" t="str">
        <f t="shared" si="0"/>
        <v>No</v>
      </c>
    </row>
    <row r="26" spans="1:13" ht="16" hidden="1" customHeight="1" x14ac:dyDescent="0.2">
      <c r="A26" s="43">
        <v>46267</v>
      </c>
      <c r="B26" s="43"/>
      <c r="C26" s="43"/>
      <c r="D26" s="93">
        <v>6</v>
      </c>
      <c r="E26" s="93">
        <v>13</v>
      </c>
      <c r="F26" s="93" t="s">
        <v>128</v>
      </c>
      <c r="G26" s="96">
        <v>9.6</v>
      </c>
      <c r="H26" s="97">
        <v>0.5</v>
      </c>
      <c r="I26">
        <v>10.5</v>
      </c>
      <c r="J26" t="str">
        <f t="shared" si="0"/>
        <v>Yes</v>
      </c>
    </row>
    <row r="27" spans="1:13" ht="16" hidden="1" customHeight="1" x14ac:dyDescent="0.2">
      <c r="A27" s="43">
        <v>46267</v>
      </c>
      <c r="B27" s="43"/>
      <c r="C27" s="43"/>
      <c r="D27" s="93">
        <v>7</v>
      </c>
      <c r="E27" s="93">
        <v>2</v>
      </c>
      <c r="F27" s="93" t="s">
        <v>129</v>
      </c>
      <c r="G27" s="96">
        <v>11.5</v>
      </c>
      <c r="H27" s="97">
        <v>0.5</v>
      </c>
      <c r="I27">
        <v>11</v>
      </c>
      <c r="J27" t="str">
        <f t="shared" si="0"/>
        <v>No</v>
      </c>
    </row>
    <row r="28" spans="1:13" ht="16" hidden="1" customHeight="1" x14ac:dyDescent="0.2">
      <c r="A28" s="43">
        <v>46267</v>
      </c>
      <c r="B28" s="43"/>
      <c r="C28" s="43"/>
      <c r="D28" s="93">
        <v>7</v>
      </c>
      <c r="E28" s="93">
        <v>4</v>
      </c>
      <c r="F28" s="93" t="s">
        <v>130</v>
      </c>
      <c r="G28" s="96">
        <v>30</v>
      </c>
      <c r="H28" s="97">
        <v>0.5</v>
      </c>
      <c r="I28">
        <v>29</v>
      </c>
      <c r="J28" t="str">
        <f t="shared" si="0"/>
        <v>No</v>
      </c>
    </row>
    <row r="29" spans="1:13" ht="16" hidden="1" customHeight="1" x14ac:dyDescent="0.2">
      <c r="A29" s="43">
        <v>46267</v>
      </c>
      <c r="B29" s="43"/>
      <c r="C29" s="43"/>
      <c r="D29" s="93">
        <v>7</v>
      </c>
      <c r="E29" s="93">
        <v>6</v>
      </c>
      <c r="F29" s="93" t="s">
        <v>131</v>
      </c>
      <c r="G29" s="96">
        <v>14.5</v>
      </c>
      <c r="H29" s="97">
        <v>0.5</v>
      </c>
      <c r="I29">
        <v>6</v>
      </c>
      <c r="J29" t="str">
        <f t="shared" si="0"/>
        <v>No</v>
      </c>
    </row>
    <row r="30" spans="1:13" ht="16" hidden="1" customHeight="1" x14ac:dyDescent="0.2">
      <c r="A30" s="43">
        <v>46267</v>
      </c>
      <c r="B30" s="43"/>
      <c r="C30" s="43"/>
      <c r="D30" s="93">
        <v>7</v>
      </c>
      <c r="E30" s="93">
        <v>14</v>
      </c>
      <c r="F30" s="93" t="s">
        <v>132</v>
      </c>
      <c r="G30" s="96">
        <v>10.5</v>
      </c>
      <c r="H30" s="97">
        <v>0.5</v>
      </c>
      <c r="I30">
        <v>5.84</v>
      </c>
      <c r="J30" t="str">
        <f t="shared" si="0"/>
        <v>No</v>
      </c>
    </row>
    <row r="31" spans="1:13" ht="16" hidden="1" customHeight="1" x14ac:dyDescent="0.2">
      <c r="A31" s="43">
        <v>46270</v>
      </c>
      <c r="B31" s="13" t="s">
        <v>142</v>
      </c>
      <c r="C31" s="13" t="s">
        <v>141</v>
      </c>
      <c r="D31" s="93">
        <v>1</v>
      </c>
      <c r="E31" s="93">
        <v>2</v>
      </c>
      <c r="F31" s="93" t="s">
        <v>143</v>
      </c>
      <c r="G31" s="96">
        <v>30</v>
      </c>
      <c r="H31" s="97">
        <v>0.5</v>
      </c>
      <c r="I31" s="93">
        <v>46</v>
      </c>
      <c r="J31" t="str">
        <f t="shared" si="0"/>
        <v>Yes</v>
      </c>
      <c r="M31" s="87"/>
    </row>
    <row r="32" spans="1:13" ht="16" hidden="1" customHeight="1" x14ac:dyDescent="0.2">
      <c r="A32" s="43">
        <v>46270</v>
      </c>
      <c r="B32" s="13" t="s">
        <v>142</v>
      </c>
      <c r="C32" s="13" t="s">
        <v>141</v>
      </c>
      <c r="D32" s="93">
        <v>1</v>
      </c>
      <c r="E32" s="93">
        <v>4</v>
      </c>
      <c r="F32" s="93" t="s">
        <v>144</v>
      </c>
      <c r="G32" s="96">
        <v>24</v>
      </c>
      <c r="H32" s="97">
        <v>0.5</v>
      </c>
      <c r="I32" s="93">
        <v>17.38</v>
      </c>
      <c r="J32" t="str">
        <f t="shared" si="0"/>
        <v>No</v>
      </c>
      <c r="M32" s="87"/>
    </row>
    <row r="33" spans="1:13" ht="16" hidden="1" customHeight="1" x14ac:dyDescent="0.2">
      <c r="A33" s="43">
        <v>46270</v>
      </c>
      <c r="B33" s="13" t="s">
        <v>142</v>
      </c>
      <c r="C33" s="13" t="s">
        <v>141</v>
      </c>
      <c r="D33" s="93">
        <v>1</v>
      </c>
      <c r="E33" s="93">
        <v>11</v>
      </c>
      <c r="F33" s="93" t="s">
        <v>145</v>
      </c>
      <c r="G33" s="96">
        <v>11</v>
      </c>
      <c r="H33" s="97">
        <v>0.5</v>
      </c>
      <c r="I33" s="93">
        <v>9.0299999999999994</v>
      </c>
      <c r="J33" t="str">
        <f t="shared" si="0"/>
        <v>No</v>
      </c>
    </row>
    <row r="34" spans="1:13" ht="16" hidden="1" customHeight="1" x14ac:dyDescent="0.2">
      <c r="A34" s="43">
        <v>46270</v>
      </c>
      <c r="B34" s="13" t="s">
        <v>134</v>
      </c>
      <c r="C34" s="13" t="s">
        <v>138</v>
      </c>
      <c r="D34" s="93">
        <v>1</v>
      </c>
      <c r="E34" s="93">
        <v>5</v>
      </c>
      <c r="F34" s="93" t="s">
        <v>146</v>
      </c>
      <c r="G34" s="96">
        <v>6.6</v>
      </c>
      <c r="H34" s="97">
        <v>0.5</v>
      </c>
      <c r="I34" s="93">
        <v>6</v>
      </c>
      <c r="J34" t="str">
        <f t="shared" si="0"/>
        <v>No</v>
      </c>
      <c r="M34" s="87"/>
    </row>
    <row r="35" spans="1:13" ht="16" hidden="1" customHeight="1" x14ac:dyDescent="0.2">
      <c r="A35" s="43">
        <v>46270</v>
      </c>
      <c r="B35" s="13" t="s">
        <v>134</v>
      </c>
      <c r="C35" s="13" t="s">
        <v>138</v>
      </c>
      <c r="D35" s="93">
        <v>1</v>
      </c>
      <c r="E35" s="93">
        <v>11</v>
      </c>
      <c r="F35" s="93" t="s">
        <v>147</v>
      </c>
      <c r="G35" s="96">
        <v>36</v>
      </c>
      <c r="H35" s="97">
        <v>0.5</v>
      </c>
      <c r="I35" s="93">
        <v>49.37</v>
      </c>
      <c r="J35" t="str">
        <f t="shared" si="0"/>
        <v>Yes</v>
      </c>
      <c r="M35" s="87"/>
    </row>
    <row r="36" spans="1:13" ht="16" hidden="1" customHeight="1" x14ac:dyDescent="0.2">
      <c r="A36" s="43">
        <v>46270</v>
      </c>
      <c r="B36" s="13" t="s">
        <v>134</v>
      </c>
      <c r="C36" s="13" t="s">
        <v>138</v>
      </c>
      <c r="D36" s="93">
        <v>1</v>
      </c>
      <c r="E36" s="93">
        <v>16</v>
      </c>
      <c r="F36" s="93" t="s">
        <v>148</v>
      </c>
      <c r="G36" s="96">
        <v>12.5</v>
      </c>
      <c r="H36" s="97">
        <v>0.5</v>
      </c>
      <c r="I36" s="93">
        <v>12.37</v>
      </c>
      <c r="J36" t="str">
        <f t="shared" si="0"/>
        <v>No</v>
      </c>
    </row>
    <row r="37" spans="1:13" ht="16" hidden="1" customHeight="1" x14ac:dyDescent="0.2">
      <c r="A37" s="43">
        <v>46270</v>
      </c>
      <c r="B37" s="13" t="s">
        <v>142</v>
      </c>
      <c r="C37" s="13" t="s">
        <v>141</v>
      </c>
      <c r="D37" s="93">
        <v>2</v>
      </c>
      <c r="E37" s="93">
        <v>6</v>
      </c>
      <c r="F37" s="93" t="s">
        <v>149</v>
      </c>
      <c r="G37" s="96">
        <v>15</v>
      </c>
      <c r="H37" s="97">
        <v>0.5</v>
      </c>
      <c r="I37" s="93">
        <v>16</v>
      </c>
      <c r="J37" t="str">
        <f t="shared" si="0"/>
        <v>Yes</v>
      </c>
      <c r="M37" s="87"/>
    </row>
    <row r="38" spans="1:13" ht="16" hidden="1" customHeight="1" x14ac:dyDescent="0.2">
      <c r="A38" s="43">
        <v>46270</v>
      </c>
      <c r="B38" s="13" t="s">
        <v>134</v>
      </c>
      <c r="C38" s="13" t="s">
        <v>138</v>
      </c>
      <c r="D38" s="93">
        <v>2</v>
      </c>
      <c r="E38" s="93">
        <v>6</v>
      </c>
      <c r="F38" s="93" t="s">
        <v>150</v>
      </c>
      <c r="G38" s="96">
        <v>32</v>
      </c>
      <c r="H38" s="97">
        <v>0.5</v>
      </c>
      <c r="I38" s="93">
        <v>28</v>
      </c>
      <c r="J38" t="str">
        <f t="shared" si="0"/>
        <v>No</v>
      </c>
      <c r="M38" s="87"/>
    </row>
    <row r="39" spans="1:13" ht="16" hidden="1" customHeight="1" x14ac:dyDescent="0.2">
      <c r="A39" s="43">
        <v>46270</v>
      </c>
      <c r="B39" s="13" t="s">
        <v>134</v>
      </c>
      <c r="C39" s="13" t="s">
        <v>138</v>
      </c>
      <c r="D39" s="93">
        <v>2</v>
      </c>
      <c r="E39" s="93">
        <v>9</v>
      </c>
      <c r="F39" s="93" t="s">
        <v>151</v>
      </c>
      <c r="G39" s="96">
        <v>8.1999999999999993</v>
      </c>
      <c r="H39" s="97">
        <v>0.5</v>
      </c>
      <c r="I39" s="93">
        <v>9.5399999999999991</v>
      </c>
      <c r="J39" t="str">
        <f t="shared" si="0"/>
        <v>Yes</v>
      </c>
      <c r="M39" s="87"/>
    </row>
    <row r="40" spans="1:13" ht="16" hidden="1" customHeight="1" x14ac:dyDescent="0.2">
      <c r="A40" s="43">
        <v>46270</v>
      </c>
      <c r="B40" s="13" t="s">
        <v>134</v>
      </c>
      <c r="C40" s="13" t="s">
        <v>138</v>
      </c>
      <c r="D40" s="93">
        <v>2</v>
      </c>
      <c r="E40" s="93">
        <v>12</v>
      </c>
      <c r="F40" s="93" t="s">
        <v>152</v>
      </c>
      <c r="G40" s="96">
        <v>26</v>
      </c>
      <c r="H40" s="97">
        <v>0.5</v>
      </c>
      <c r="I40" s="93">
        <v>18.23</v>
      </c>
      <c r="J40" t="str">
        <f t="shared" si="0"/>
        <v>No</v>
      </c>
    </row>
    <row r="41" spans="1:13" ht="16" hidden="1" customHeight="1" x14ac:dyDescent="0.2">
      <c r="A41" s="43">
        <v>46270</v>
      </c>
      <c r="B41" s="13" t="s">
        <v>134</v>
      </c>
      <c r="C41" s="13" t="s">
        <v>138</v>
      </c>
      <c r="D41" s="93">
        <v>2</v>
      </c>
      <c r="E41" s="93">
        <v>17</v>
      </c>
      <c r="F41" s="93" t="s">
        <v>153</v>
      </c>
      <c r="G41" s="96">
        <v>17</v>
      </c>
      <c r="H41" s="97">
        <v>0.5</v>
      </c>
      <c r="I41" s="93">
        <v>16</v>
      </c>
      <c r="J41" t="str">
        <f t="shared" si="0"/>
        <v>No</v>
      </c>
      <c r="M41" s="87"/>
    </row>
    <row r="42" spans="1:13" ht="16" hidden="1" customHeight="1" x14ac:dyDescent="0.2">
      <c r="A42" s="43">
        <v>46270</v>
      </c>
      <c r="B42" s="13" t="s">
        <v>142</v>
      </c>
      <c r="C42" s="13" t="s">
        <v>141</v>
      </c>
      <c r="D42" s="93">
        <v>3</v>
      </c>
      <c r="E42" s="93">
        <v>1</v>
      </c>
      <c r="F42" s="93" t="s">
        <v>154</v>
      </c>
      <c r="G42" s="96">
        <v>23</v>
      </c>
      <c r="H42" s="97">
        <v>0.5</v>
      </c>
      <c r="I42" s="93">
        <v>18.48</v>
      </c>
      <c r="J42" t="str">
        <f t="shared" si="0"/>
        <v>No</v>
      </c>
      <c r="M42" s="87"/>
    </row>
    <row r="43" spans="1:13" ht="16" hidden="1" customHeight="1" x14ac:dyDescent="0.2">
      <c r="A43" s="43">
        <v>46270</v>
      </c>
      <c r="B43" s="13" t="s">
        <v>142</v>
      </c>
      <c r="C43" s="13" t="s">
        <v>141</v>
      </c>
      <c r="D43" s="93">
        <v>3</v>
      </c>
      <c r="E43" s="93">
        <v>11</v>
      </c>
      <c r="F43" s="93" t="s">
        <v>155</v>
      </c>
      <c r="G43" s="96">
        <v>12</v>
      </c>
      <c r="H43" s="97">
        <v>0.5</v>
      </c>
      <c r="I43" s="93">
        <v>6.2</v>
      </c>
      <c r="J43" t="str">
        <f t="shared" si="0"/>
        <v>No</v>
      </c>
      <c r="M43" s="87"/>
    </row>
    <row r="44" spans="1:13" ht="16" hidden="1" customHeight="1" x14ac:dyDescent="0.2">
      <c r="A44" s="43">
        <v>46270</v>
      </c>
      <c r="B44" s="13" t="s">
        <v>134</v>
      </c>
      <c r="C44" s="13" t="s">
        <v>138</v>
      </c>
      <c r="D44" s="93">
        <v>3</v>
      </c>
      <c r="E44" s="93">
        <v>2</v>
      </c>
      <c r="F44" s="93" t="s">
        <v>156</v>
      </c>
      <c r="G44" s="96">
        <v>13.5</v>
      </c>
      <c r="H44" s="97">
        <v>0.5</v>
      </c>
      <c r="I44" s="93">
        <v>10.52</v>
      </c>
      <c r="J44" t="str">
        <f t="shared" si="0"/>
        <v>No</v>
      </c>
    </row>
    <row r="45" spans="1:13" ht="16" hidden="1" customHeight="1" x14ac:dyDescent="0.2">
      <c r="A45" s="43">
        <v>46270</v>
      </c>
      <c r="B45" s="13" t="s">
        <v>134</v>
      </c>
      <c r="C45" s="13" t="s">
        <v>138</v>
      </c>
      <c r="D45" s="93">
        <v>3</v>
      </c>
      <c r="E45" s="93">
        <v>5</v>
      </c>
      <c r="F45" s="93" t="s">
        <v>157</v>
      </c>
      <c r="G45" s="96">
        <v>19</v>
      </c>
      <c r="H45" s="97">
        <v>0.5</v>
      </c>
      <c r="I45" s="93">
        <v>19.04</v>
      </c>
      <c r="J45" t="str">
        <f t="shared" si="0"/>
        <v>Yes</v>
      </c>
      <c r="M45" s="87"/>
    </row>
    <row r="46" spans="1:13" ht="16" hidden="1" customHeight="1" x14ac:dyDescent="0.2">
      <c r="A46" s="43">
        <v>46270</v>
      </c>
      <c r="B46" s="13" t="s">
        <v>134</v>
      </c>
      <c r="C46" s="13" t="s">
        <v>138</v>
      </c>
      <c r="D46" s="93">
        <v>3</v>
      </c>
      <c r="E46" s="93">
        <v>6</v>
      </c>
      <c r="F46" s="93" t="s">
        <v>158</v>
      </c>
      <c r="G46" s="96">
        <v>8</v>
      </c>
      <c r="H46" s="97">
        <v>0.5</v>
      </c>
      <c r="I46" s="93">
        <v>8</v>
      </c>
      <c r="J46" t="str">
        <f t="shared" si="0"/>
        <v>Yes</v>
      </c>
      <c r="M46" s="87"/>
    </row>
    <row r="47" spans="1:13" ht="16" hidden="1" customHeight="1" x14ac:dyDescent="0.2">
      <c r="A47" s="43">
        <v>46270</v>
      </c>
      <c r="B47" s="13" t="s">
        <v>134</v>
      </c>
      <c r="C47" s="13" t="s">
        <v>138</v>
      </c>
      <c r="D47" s="93">
        <v>3</v>
      </c>
      <c r="E47" s="93">
        <v>8</v>
      </c>
      <c r="F47" s="93" t="s">
        <v>159</v>
      </c>
      <c r="G47" s="96">
        <v>36</v>
      </c>
      <c r="H47" s="97">
        <v>0.5</v>
      </c>
      <c r="I47" s="93">
        <v>36</v>
      </c>
      <c r="J47" t="str">
        <f t="shared" si="0"/>
        <v>Yes</v>
      </c>
      <c r="M47" s="87"/>
    </row>
    <row r="48" spans="1:13" ht="16" hidden="1" customHeight="1" x14ac:dyDescent="0.2">
      <c r="A48" s="43">
        <v>46270</v>
      </c>
      <c r="B48" s="13" t="s">
        <v>134</v>
      </c>
      <c r="C48" s="13" t="s">
        <v>138</v>
      </c>
      <c r="D48" s="93">
        <v>3</v>
      </c>
      <c r="E48" s="93">
        <v>12</v>
      </c>
      <c r="F48" s="93" t="s">
        <v>160</v>
      </c>
      <c r="G48" s="96">
        <v>30</v>
      </c>
      <c r="H48" s="97">
        <v>0.5</v>
      </c>
      <c r="I48" s="93">
        <v>27.4</v>
      </c>
      <c r="J48" t="str">
        <f t="shared" si="0"/>
        <v>No</v>
      </c>
    </row>
    <row r="49" spans="1:13" ht="16" hidden="1" customHeight="1" x14ac:dyDescent="0.2">
      <c r="A49" s="43">
        <v>46270</v>
      </c>
      <c r="B49" s="13" t="s">
        <v>134</v>
      </c>
      <c r="C49" s="13" t="s">
        <v>138</v>
      </c>
      <c r="D49" s="93">
        <v>3</v>
      </c>
      <c r="E49" s="93">
        <v>13</v>
      </c>
      <c r="F49" s="93" t="s">
        <v>161</v>
      </c>
      <c r="G49" s="96">
        <v>6.8</v>
      </c>
      <c r="H49" s="97">
        <v>0.5</v>
      </c>
      <c r="I49" s="93">
        <v>6</v>
      </c>
      <c r="J49" t="str">
        <f t="shared" si="0"/>
        <v>No</v>
      </c>
      <c r="M49" s="87"/>
    </row>
    <row r="50" spans="1:13" ht="16" hidden="1" customHeight="1" x14ac:dyDescent="0.2">
      <c r="A50" s="43">
        <v>46270</v>
      </c>
      <c r="B50" s="13" t="s">
        <v>142</v>
      </c>
      <c r="C50" s="13" t="s">
        <v>141</v>
      </c>
      <c r="D50" s="93">
        <v>4</v>
      </c>
      <c r="E50" s="93">
        <v>6</v>
      </c>
      <c r="F50" s="93" t="s">
        <v>162</v>
      </c>
      <c r="G50" s="96">
        <v>12</v>
      </c>
      <c r="H50" s="97">
        <v>0.5</v>
      </c>
      <c r="I50" s="93">
        <v>12</v>
      </c>
      <c r="J50" t="str">
        <f t="shared" si="0"/>
        <v>Yes</v>
      </c>
      <c r="M50" s="87"/>
    </row>
    <row r="51" spans="1:13" ht="16" hidden="1" customHeight="1" x14ac:dyDescent="0.2">
      <c r="A51" s="43">
        <v>46270</v>
      </c>
      <c r="B51" s="13" t="s">
        <v>142</v>
      </c>
      <c r="C51" s="13" t="s">
        <v>141</v>
      </c>
      <c r="D51" s="93">
        <v>4</v>
      </c>
      <c r="E51" s="93">
        <v>11</v>
      </c>
      <c r="F51" s="93" t="s">
        <v>163</v>
      </c>
      <c r="G51" s="96">
        <v>14.5</v>
      </c>
      <c r="H51" s="97">
        <v>0.5</v>
      </c>
      <c r="I51" s="93">
        <v>14.53</v>
      </c>
      <c r="J51" t="str">
        <f t="shared" si="0"/>
        <v>Yes</v>
      </c>
    </row>
    <row r="52" spans="1:13" ht="16" hidden="1" customHeight="1" x14ac:dyDescent="0.2">
      <c r="A52" s="43">
        <v>46270</v>
      </c>
      <c r="B52" s="13" t="s">
        <v>142</v>
      </c>
      <c r="C52" s="13" t="s">
        <v>141</v>
      </c>
      <c r="D52" s="93">
        <v>4</v>
      </c>
      <c r="E52" s="93">
        <v>14</v>
      </c>
      <c r="F52" s="93" t="s">
        <v>164</v>
      </c>
      <c r="G52" s="96">
        <v>10</v>
      </c>
      <c r="H52" s="97">
        <v>0.5</v>
      </c>
      <c r="I52" s="93">
        <v>10.52</v>
      </c>
      <c r="J52" t="str">
        <f t="shared" si="0"/>
        <v>Yes</v>
      </c>
      <c r="M52" s="87"/>
    </row>
    <row r="53" spans="1:13" ht="16" hidden="1" customHeight="1" x14ac:dyDescent="0.2">
      <c r="A53" s="43">
        <v>46270</v>
      </c>
      <c r="B53" s="13" t="s">
        <v>134</v>
      </c>
      <c r="C53" s="13" t="s">
        <v>138</v>
      </c>
      <c r="D53" s="93">
        <v>4</v>
      </c>
      <c r="E53" s="93">
        <v>5</v>
      </c>
      <c r="F53" s="93" t="s">
        <v>165</v>
      </c>
      <c r="G53" s="96">
        <v>7.6</v>
      </c>
      <c r="H53" s="97">
        <v>0.5</v>
      </c>
      <c r="I53" s="93">
        <v>6</v>
      </c>
      <c r="J53" t="str">
        <f t="shared" si="0"/>
        <v>No</v>
      </c>
      <c r="M53" s="87"/>
    </row>
    <row r="54" spans="1:13" ht="16" hidden="1" customHeight="1" x14ac:dyDescent="0.2">
      <c r="A54" s="43">
        <v>46270</v>
      </c>
      <c r="B54" s="13" t="s">
        <v>134</v>
      </c>
      <c r="C54" s="13" t="s">
        <v>138</v>
      </c>
      <c r="D54" s="93">
        <v>4</v>
      </c>
      <c r="E54" s="93">
        <v>7</v>
      </c>
      <c r="F54" s="93" t="s">
        <v>166</v>
      </c>
      <c r="G54" s="96">
        <v>7.2</v>
      </c>
      <c r="H54" s="97">
        <v>0.5</v>
      </c>
      <c r="I54" s="93">
        <v>8.7200000000000006</v>
      </c>
      <c r="J54" t="str">
        <f t="shared" si="0"/>
        <v>Yes</v>
      </c>
      <c r="M54" s="87"/>
    </row>
    <row r="55" spans="1:13" ht="16" hidden="1" customHeight="1" x14ac:dyDescent="0.2">
      <c r="A55" s="43">
        <v>46270</v>
      </c>
      <c r="B55" s="13" t="s">
        <v>142</v>
      </c>
      <c r="C55" s="13" t="s">
        <v>141</v>
      </c>
      <c r="D55" s="93">
        <v>5</v>
      </c>
      <c r="E55" s="93">
        <v>1</v>
      </c>
      <c r="F55" s="93" t="s">
        <v>167</v>
      </c>
      <c r="G55" s="96">
        <v>8.1999999999999993</v>
      </c>
      <c r="H55" s="97">
        <v>0.5</v>
      </c>
      <c r="I55" s="93">
        <v>7.07</v>
      </c>
      <c r="J55" t="str">
        <f t="shared" si="0"/>
        <v>No</v>
      </c>
    </row>
    <row r="56" spans="1:13" ht="16" hidden="1" customHeight="1" x14ac:dyDescent="0.2">
      <c r="A56" s="43">
        <v>46270</v>
      </c>
      <c r="B56" s="13" t="s">
        <v>142</v>
      </c>
      <c r="C56" s="13" t="s">
        <v>141</v>
      </c>
      <c r="D56" s="93">
        <v>5</v>
      </c>
      <c r="E56" s="93">
        <v>3</v>
      </c>
      <c r="F56" s="93" t="s">
        <v>168</v>
      </c>
      <c r="G56" s="96">
        <v>9.1999999999999993</v>
      </c>
      <c r="H56" s="97">
        <v>0.5</v>
      </c>
      <c r="I56" s="93">
        <v>10.5</v>
      </c>
      <c r="J56" t="str">
        <f t="shared" si="0"/>
        <v>Yes</v>
      </c>
      <c r="M56" s="87"/>
    </row>
    <row r="57" spans="1:13" ht="16" hidden="1" customHeight="1" x14ac:dyDescent="0.2">
      <c r="A57" s="43">
        <v>46270</v>
      </c>
      <c r="B57" s="13" t="s">
        <v>142</v>
      </c>
      <c r="C57" s="13" t="s">
        <v>141</v>
      </c>
      <c r="D57" s="93">
        <v>5</v>
      </c>
      <c r="E57" s="93">
        <v>4</v>
      </c>
      <c r="F57" s="93" t="s">
        <v>169</v>
      </c>
      <c r="G57" s="96">
        <v>8.1999999999999993</v>
      </c>
      <c r="H57" s="97">
        <v>0.5</v>
      </c>
      <c r="I57" s="93">
        <v>6.51</v>
      </c>
      <c r="J57" t="str">
        <f t="shared" si="0"/>
        <v>No</v>
      </c>
      <c r="M57" s="87"/>
    </row>
    <row r="58" spans="1:13" ht="16" hidden="1" customHeight="1" x14ac:dyDescent="0.2">
      <c r="A58" s="43">
        <v>46270</v>
      </c>
      <c r="B58" s="13" t="s">
        <v>142</v>
      </c>
      <c r="C58" s="13" t="s">
        <v>141</v>
      </c>
      <c r="D58" s="93">
        <v>5</v>
      </c>
      <c r="E58" s="93">
        <v>12</v>
      </c>
      <c r="F58" s="93" t="s">
        <v>170</v>
      </c>
      <c r="G58" s="96">
        <v>30</v>
      </c>
      <c r="H58" s="97">
        <v>0.5</v>
      </c>
      <c r="I58" s="93">
        <v>51.07</v>
      </c>
      <c r="J58" t="str">
        <f t="shared" si="0"/>
        <v>Yes</v>
      </c>
    </row>
    <row r="59" spans="1:13" ht="16" hidden="1" customHeight="1" x14ac:dyDescent="0.2">
      <c r="A59" s="43">
        <v>46270</v>
      </c>
      <c r="B59" s="13" t="s">
        <v>134</v>
      </c>
      <c r="C59" s="13" t="s">
        <v>138</v>
      </c>
      <c r="D59" s="93">
        <v>5</v>
      </c>
      <c r="E59" s="93">
        <v>2</v>
      </c>
      <c r="F59" s="93" t="s">
        <v>171</v>
      </c>
      <c r="G59" s="96">
        <v>15.5</v>
      </c>
      <c r="H59" s="97">
        <v>0.5</v>
      </c>
      <c r="I59" s="93">
        <v>16.2</v>
      </c>
      <c r="J59" t="str">
        <f t="shared" si="0"/>
        <v>Yes</v>
      </c>
      <c r="M59" s="87"/>
    </row>
    <row r="60" spans="1:13" ht="16" hidden="1" customHeight="1" x14ac:dyDescent="0.2">
      <c r="A60" s="43">
        <v>46270</v>
      </c>
      <c r="B60" s="13" t="s">
        <v>134</v>
      </c>
      <c r="C60" s="13" t="s">
        <v>138</v>
      </c>
      <c r="D60" s="93">
        <v>5</v>
      </c>
      <c r="E60" s="93">
        <v>3</v>
      </c>
      <c r="F60" s="93" t="s">
        <v>172</v>
      </c>
      <c r="G60" s="96">
        <v>14.5</v>
      </c>
      <c r="H60" s="97">
        <v>0.5</v>
      </c>
      <c r="I60" s="93">
        <v>13.09</v>
      </c>
      <c r="J60" t="str">
        <f t="shared" si="0"/>
        <v>No</v>
      </c>
      <c r="M60" s="87"/>
    </row>
    <row r="61" spans="1:13" ht="16" hidden="1" customHeight="1" x14ac:dyDescent="0.2">
      <c r="A61" s="43">
        <v>46270</v>
      </c>
      <c r="B61" s="13" t="s">
        <v>134</v>
      </c>
      <c r="C61" s="13" t="s">
        <v>138</v>
      </c>
      <c r="D61" s="93">
        <v>5</v>
      </c>
      <c r="E61" s="93">
        <v>9</v>
      </c>
      <c r="F61" s="93" t="s">
        <v>173</v>
      </c>
      <c r="G61" s="96">
        <v>12</v>
      </c>
      <c r="H61" s="97">
        <v>0.5</v>
      </c>
      <c r="I61" s="93">
        <v>18.14</v>
      </c>
      <c r="J61" t="str">
        <f t="shared" si="0"/>
        <v>Yes</v>
      </c>
    </row>
    <row r="62" spans="1:13" ht="16" hidden="1" customHeight="1" x14ac:dyDescent="0.2">
      <c r="A62" s="43">
        <v>46270</v>
      </c>
      <c r="B62" s="13" t="s">
        <v>134</v>
      </c>
      <c r="C62" s="13" t="s">
        <v>138</v>
      </c>
      <c r="D62" s="93">
        <v>5</v>
      </c>
      <c r="E62" s="93">
        <v>10</v>
      </c>
      <c r="F62" s="93" t="s">
        <v>174</v>
      </c>
      <c r="G62" s="96">
        <v>10.5</v>
      </c>
      <c r="H62" s="97">
        <v>0.5</v>
      </c>
      <c r="I62" s="93">
        <v>14.84</v>
      </c>
      <c r="J62" t="str">
        <f t="shared" si="0"/>
        <v>Yes</v>
      </c>
      <c r="M62" s="87"/>
    </row>
    <row r="63" spans="1:13" ht="16" hidden="1" customHeight="1" x14ac:dyDescent="0.2">
      <c r="A63" s="43">
        <v>46270</v>
      </c>
      <c r="B63" s="13" t="s">
        <v>134</v>
      </c>
      <c r="C63" s="13" t="s">
        <v>138</v>
      </c>
      <c r="D63" s="93">
        <v>5</v>
      </c>
      <c r="E63" s="93">
        <v>11</v>
      </c>
      <c r="F63" s="93" t="s">
        <v>175</v>
      </c>
      <c r="G63" s="96">
        <v>36</v>
      </c>
      <c r="H63" s="97">
        <v>0.5</v>
      </c>
      <c r="I63" s="93">
        <v>49.26</v>
      </c>
      <c r="J63" t="str">
        <f t="shared" si="0"/>
        <v>Yes</v>
      </c>
      <c r="M63" s="87"/>
    </row>
    <row r="64" spans="1:13" ht="16" hidden="1" customHeight="1" x14ac:dyDescent="0.2">
      <c r="A64" s="43">
        <v>46270</v>
      </c>
      <c r="B64" s="13" t="s">
        <v>134</v>
      </c>
      <c r="C64" s="13" t="s">
        <v>138</v>
      </c>
      <c r="D64" s="93">
        <v>5</v>
      </c>
      <c r="E64" s="93">
        <v>15</v>
      </c>
      <c r="F64" s="93" t="s">
        <v>176</v>
      </c>
      <c r="G64" s="96">
        <v>29</v>
      </c>
      <c r="H64" s="97">
        <v>0.5</v>
      </c>
      <c r="I64" s="93">
        <v>29</v>
      </c>
      <c r="J64" t="str">
        <f t="shared" si="0"/>
        <v>Yes</v>
      </c>
    </row>
    <row r="65" spans="1:10" ht="16" hidden="1" customHeight="1" x14ac:dyDescent="0.2">
      <c r="A65" s="43">
        <v>46270</v>
      </c>
      <c r="B65" s="13" t="s">
        <v>134</v>
      </c>
      <c r="C65" s="13" t="s">
        <v>138</v>
      </c>
      <c r="D65" s="93">
        <v>5</v>
      </c>
      <c r="E65" s="93">
        <v>20</v>
      </c>
      <c r="F65" s="93" t="s">
        <v>177</v>
      </c>
      <c r="G65" s="96">
        <v>24</v>
      </c>
      <c r="H65" s="97">
        <v>0.5</v>
      </c>
      <c r="I65" s="93">
        <v>11.5</v>
      </c>
      <c r="J65" t="str">
        <f t="shared" si="0"/>
        <v>No</v>
      </c>
    </row>
    <row r="66" spans="1:10" ht="16" hidden="1" customHeight="1" x14ac:dyDescent="0.2">
      <c r="A66" s="43">
        <v>46270</v>
      </c>
      <c r="B66" s="13" t="s">
        <v>142</v>
      </c>
      <c r="C66" s="13" t="s">
        <v>141</v>
      </c>
      <c r="D66" s="93">
        <v>6</v>
      </c>
      <c r="E66" s="93">
        <v>1</v>
      </c>
      <c r="F66" s="93" t="s">
        <v>178</v>
      </c>
      <c r="G66" s="96">
        <v>12.5</v>
      </c>
      <c r="H66" s="97">
        <v>0.5</v>
      </c>
      <c r="I66" s="93">
        <v>11.78</v>
      </c>
      <c r="J66" t="str">
        <f t="shared" ref="J66:J129" si="1">IF(I66&gt;=G66,"Yes","No")</f>
        <v>No</v>
      </c>
    </row>
    <row r="67" spans="1:10" ht="16" hidden="1" customHeight="1" x14ac:dyDescent="0.2">
      <c r="A67" s="43">
        <v>46270</v>
      </c>
      <c r="B67" s="13" t="s">
        <v>142</v>
      </c>
      <c r="C67" s="13" t="s">
        <v>141</v>
      </c>
      <c r="D67" s="93">
        <v>6</v>
      </c>
      <c r="E67" s="93">
        <v>9</v>
      </c>
      <c r="F67" s="93" t="s">
        <v>179</v>
      </c>
      <c r="G67" s="96">
        <v>18.5</v>
      </c>
      <c r="H67" s="97">
        <v>0.5</v>
      </c>
      <c r="I67" s="93">
        <v>21</v>
      </c>
      <c r="J67" t="str">
        <f t="shared" si="1"/>
        <v>Yes</v>
      </c>
    </row>
    <row r="68" spans="1:10" ht="16" hidden="1" customHeight="1" x14ac:dyDescent="0.2">
      <c r="A68" s="43">
        <v>46270</v>
      </c>
      <c r="B68" s="13" t="s">
        <v>142</v>
      </c>
      <c r="C68" s="13" t="s">
        <v>141</v>
      </c>
      <c r="D68" s="93">
        <v>6</v>
      </c>
      <c r="E68" s="93">
        <v>10</v>
      </c>
      <c r="F68" s="93" t="s">
        <v>180</v>
      </c>
      <c r="G68" s="96">
        <v>9.8000000000000007</v>
      </c>
      <c r="H68" s="97">
        <v>0.5</v>
      </c>
      <c r="I68" s="93">
        <v>13.7</v>
      </c>
      <c r="J68" t="str">
        <f t="shared" si="1"/>
        <v>Yes</v>
      </c>
    </row>
    <row r="69" spans="1:10" ht="16" hidden="1" customHeight="1" x14ac:dyDescent="0.2">
      <c r="A69" s="43">
        <v>46270</v>
      </c>
      <c r="B69" s="13" t="s">
        <v>142</v>
      </c>
      <c r="C69" s="13" t="s">
        <v>141</v>
      </c>
      <c r="D69" s="93">
        <v>6</v>
      </c>
      <c r="E69" s="93">
        <v>11</v>
      </c>
      <c r="F69" s="93" t="s">
        <v>181</v>
      </c>
      <c r="G69" s="96">
        <v>12.5</v>
      </c>
      <c r="H69" s="97">
        <v>0.5</v>
      </c>
      <c r="I69" s="93">
        <v>18</v>
      </c>
      <c r="J69" t="str">
        <f t="shared" si="1"/>
        <v>Yes</v>
      </c>
    </row>
    <row r="70" spans="1:10" ht="16" hidden="1" customHeight="1" x14ac:dyDescent="0.2">
      <c r="A70" s="43">
        <v>46270</v>
      </c>
      <c r="B70" s="13" t="s">
        <v>142</v>
      </c>
      <c r="C70" s="13" t="s">
        <v>141</v>
      </c>
      <c r="D70" s="93">
        <v>6</v>
      </c>
      <c r="E70" s="93">
        <v>19</v>
      </c>
      <c r="F70" s="93" t="s">
        <v>182</v>
      </c>
      <c r="G70" s="96">
        <v>12</v>
      </c>
      <c r="H70" s="97">
        <v>0.5</v>
      </c>
      <c r="I70" s="93">
        <v>13</v>
      </c>
      <c r="J70" t="str">
        <f t="shared" si="1"/>
        <v>Yes</v>
      </c>
    </row>
    <row r="71" spans="1:10" ht="16" hidden="1" customHeight="1" x14ac:dyDescent="0.2">
      <c r="A71" s="43">
        <v>46270</v>
      </c>
      <c r="B71" s="13" t="s">
        <v>134</v>
      </c>
      <c r="C71" s="13" t="s">
        <v>138</v>
      </c>
      <c r="D71" s="93">
        <v>6</v>
      </c>
      <c r="E71" s="93">
        <v>4</v>
      </c>
      <c r="F71" s="93" t="s">
        <v>183</v>
      </c>
      <c r="G71" s="96">
        <v>18</v>
      </c>
      <c r="H71" s="97">
        <v>0.5</v>
      </c>
      <c r="I71" s="93">
        <v>44.06</v>
      </c>
      <c r="J71" t="str">
        <f t="shared" si="1"/>
        <v>Yes</v>
      </c>
    </row>
    <row r="72" spans="1:10" ht="16" hidden="1" customHeight="1" x14ac:dyDescent="0.2">
      <c r="A72" s="43">
        <v>46270</v>
      </c>
      <c r="B72" s="13" t="s">
        <v>134</v>
      </c>
      <c r="C72" s="13" t="s">
        <v>138</v>
      </c>
      <c r="D72" s="93">
        <v>6</v>
      </c>
      <c r="E72" s="93">
        <v>6</v>
      </c>
      <c r="F72" s="93" t="s">
        <v>184</v>
      </c>
      <c r="G72" s="96">
        <v>11</v>
      </c>
      <c r="H72" s="97">
        <v>0.5</v>
      </c>
      <c r="I72" s="93">
        <v>8.8000000000000007</v>
      </c>
      <c r="J72" t="str">
        <f t="shared" si="1"/>
        <v>No</v>
      </c>
    </row>
    <row r="73" spans="1:10" ht="16" hidden="1" customHeight="1" x14ac:dyDescent="0.2">
      <c r="A73" s="43">
        <v>46270</v>
      </c>
      <c r="B73" s="13" t="s">
        <v>134</v>
      </c>
      <c r="C73" s="13" t="s">
        <v>138</v>
      </c>
      <c r="D73" s="93">
        <v>6</v>
      </c>
      <c r="E73" s="93">
        <v>7</v>
      </c>
      <c r="F73" s="93" t="s">
        <v>185</v>
      </c>
      <c r="G73" s="96">
        <v>29</v>
      </c>
      <c r="H73" s="97">
        <v>0.5</v>
      </c>
      <c r="I73" s="93">
        <v>44.83</v>
      </c>
      <c r="J73" t="str">
        <f t="shared" si="1"/>
        <v>Yes</v>
      </c>
    </row>
    <row r="74" spans="1:10" ht="16" hidden="1" customHeight="1" x14ac:dyDescent="0.2">
      <c r="A74" s="43">
        <v>46270</v>
      </c>
      <c r="B74" s="13" t="s">
        <v>134</v>
      </c>
      <c r="C74" s="13" t="s">
        <v>138</v>
      </c>
      <c r="D74" s="93">
        <v>6</v>
      </c>
      <c r="E74" s="93">
        <v>9</v>
      </c>
      <c r="F74" s="93" t="s">
        <v>186</v>
      </c>
      <c r="G74" s="96">
        <v>38</v>
      </c>
      <c r="H74" s="97">
        <v>0.5</v>
      </c>
      <c r="I74" s="93">
        <v>26.08</v>
      </c>
      <c r="J74" t="str">
        <f t="shared" si="1"/>
        <v>No</v>
      </c>
    </row>
    <row r="75" spans="1:10" ht="16" hidden="1" customHeight="1" x14ac:dyDescent="0.2">
      <c r="A75" s="43">
        <v>46270</v>
      </c>
      <c r="B75" s="13" t="s">
        <v>142</v>
      </c>
      <c r="C75" s="13" t="s">
        <v>141</v>
      </c>
      <c r="D75" s="93">
        <v>7</v>
      </c>
      <c r="E75" s="93">
        <v>8</v>
      </c>
      <c r="F75" s="93" t="s">
        <v>187</v>
      </c>
      <c r="G75" s="96">
        <v>13.5</v>
      </c>
      <c r="H75" s="97">
        <v>0.5</v>
      </c>
      <c r="I75" s="93">
        <v>15.5</v>
      </c>
      <c r="J75" t="str">
        <f t="shared" si="1"/>
        <v>Yes</v>
      </c>
    </row>
    <row r="76" spans="1:10" ht="16" hidden="1" customHeight="1" x14ac:dyDescent="0.2">
      <c r="A76" s="43">
        <v>46270</v>
      </c>
      <c r="B76" s="13" t="s">
        <v>134</v>
      </c>
      <c r="C76" s="13" t="s">
        <v>138</v>
      </c>
      <c r="D76" s="93">
        <v>7</v>
      </c>
      <c r="E76" s="93">
        <v>2</v>
      </c>
      <c r="F76" s="93" t="s">
        <v>188</v>
      </c>
      <c r="G76" s="96">
        <v>11.5</v>
      </c>
      <c r="H76" s="97">
        <v>0.5</v>
      </c>
      <c r="I76" s="93">
        <v>10</v>
      </c>
      <c r="J76" t="str">
        <f t="shared" si="1"/>
        <v>No</v>
      </c>
    </row>
    <row r="77" spans="1:10" ht="16" hidden="1" customHeight="1" x14ac:dyDescent="0.2">
      <c r="A77" s="43">
        <v>46270</v>
      </c>
      <c r="B77" s="13" t="s">
        <v>134</v>
      </c>
      <c r="C77" s="13" t="s">
        <v>138</v>
      </c>
      <c r="D77" s="93">
        <v>7</v>
      </c>
      <c r="E77" s="93">
        <v>3</v>
      </c>
      <c r="F77" s="93" t="s">
        <v>189</v>
      </c>
      <c r="G77" s="96">
        <v>12.5</v>
      </c>
      <c r="H77" s="97">
        <v>0.5</v>
      </c>
      <c r="I77" s="93">
        <v>14.45</v>
      </c>
      <c r="J77" t="str">
        <f t="shared" si="1"/>
        <v>Yes</v>
      </c>
    </row>
    <row r="78" spans="1:10" ht="16" hidden="1" customHeight="1" x14ac:dyDescent="0.2">
      <c r="A78" s="43">
        <v>46270</v>
      </c>
      <c r="B78" s="13" t="s">
        <v>134</v>
      </c>
      <c r="C78" s="13" t="s">
        <v>138</v>
      </c>
      <c r="D78" s="93">
        <v>7</v>
      </c>
      <c r="E78" s="93">
        <v>9</v>
      </c>
      <c r="F78" s="93" t="s">
        <v>190</v>
      </c>
      <c r="G78" s="96">
        <v>15.5</v>
      </c>
      <c r="H78" s="97">
        <v>0.5</v>
      </c>
      <c r="I78" s="93">
        <v>24</v>
      </c>
      <c r="J78" t="str">
        <f t="shared" si="1"/>
        <v>Yes</v>
      </c>
    </row>
    <row r="79" spans="1:10" ht="16" hidden="1" customHeight="1" x14ac:dyDescent="0.2">
      <c r="A79" s="43">
        <v>46270</v>
      </c>
      <c r="B79" s="13" t="s">
        <v>142</v>
      </c>
      <c r="C79" s="13" t="s">
        <v>141</v>
      </c>
      <c r="D79" s="93">
        <v>8</v>
      </c>
      <c r="E79" s="93">
        <v>5</v>
      </c>
      <c r="F79" s="93" t="s">
        <v>191</v>
      </c>
      <c r="G79" s="96">
        <v>9.4</v>
      </c>
      <c r="H79" s="97">
        <v>0.5</v>
      </c>
      <c r="I79" s="93">
        <v>13.53</v>
      </c>
      <c r="J79" t="str">
        <f t="shared" si="1"/>
        <v>Yes</v>
      </c>
    </row>
    <row r="80" spans="1:10" ht="16" hidden="1" customHeight="1" x14ac:dyDescent="0.2">
      <c r="A80" s="43">
        <v>46270</v>
      </c>
      <c r="B80" s="13" t="s">
        <v>134</v>
      </c>
      <c r="C80" s="13" t="s">
        <v>138</v>
      </c>
      <c r="D80" s="93">
        <v>8</v>
      </c>
      <c r="E80" s="93">
        <v>8</v>
      </c>
      <c r="F80" s="93" t="s">
        <v>192</v>
      </c>
      <c r="G80" s="96">
        <v>29</v>
      </c>
      <c r="H80" s="97">
        <v>0.5</v>
      </c>
      <c r="I80" s="93">
        <v>32</v>
      </c>
      <c r="J80" t="str">
        <f t="shared" si="1"/>
        <v>Yes</v>
      </c>
    </row>
    <row r="81" spans="1:10" ht="16" hidden="1" customHeight="1" x14ac:dyDescent="0.2">
      <c r="A81" s="43">
        <v>46270</v>
      </c>
      <c r="B81" s="13" t="s">
        <v>142</v>
      </c>
      <c r="C81" s="13" t="s">
        <v>141</v>
      </c>
      <c r="D81" s="93">
        <v>9</v>
      </c>
      <c r="E81" s="93">
        <v>5</v>
      </c>
      <c r="F81" s="93" t="s">
        <v>193</v>
      </c>
      <c r="G81" s="96">
        <v>23</v>
      </c>
      <c r="H81" s="97">
        <v>0.5</v>
      </c>
      <c r="I81" s="93">
        <v>33.6</v>
      </c>
      <c r="J81" t="str">
        <f t="shared" si="1"/>
        <v>Yes</v>
      </c>
    </row>
    <row r="82" spans="1:10" ht="16" hidden="1" customHeight="1" x14ac:dyDescent="0.2">
      <c r="A82" s="43">
        <v>46270</v>
      </c>
      <c r="B82" s="13" t="s">
        <v>142</v>
      </c>
      <c r="C82" s="13" t="s">
        <v>141</v>
      </c>
      <c r="D82" s="93">
        <v>9</v>
      </c>
      <c r="E82" s="93">
        <v>9</v>
      </c>
      <c r="F82" s="93" t="s">
        <v>194</v>
      </c>
      <c r="G82" s="96">
        <v>24</v>
      </c>
      <c r="H82" s="97">
        <v>0.5</v>
      </c>
      <c r="I82" s="93">
        <v>22.4</v>
      </c>
      <c r="J82" t="str">
        <f t="shared" si="1"/>
        <v>No</v>
      </c>
    </row>
    <row r="83" spans="1:10" ht="16" hidden="1" customHeight="1" x14ac:dyDescent="0.2">
      <c r="A83" s="43">
        <v>46270</v>
      </c>
      <c r="B83" s="13" t="s">
        <v>134</v>
      </c>
      <c r="C83" s="13" t="s">
        <v>138</v>
      </c>
      <c r="D83" s="93">
        <v>9</v>
      </c>
      <c r="E83" s="93">
        <v>7</v>
      </c>
      <c r="F83" s="93" t="s">
        <v>195</v>
      </c>
      <c r="G83" s="96">
        <v>12</v>
      </c>
      <c r="H83" s="97">
        <v>0.5</v>
      </c>
      <c r="I83" s="93">
        <v>10.15</v>
      </c>
      <c r="J83" t="str">
        <f t="shared" si="1"/>
        <v>No</v>
      </c>
    </row>
    <row r="84" spans="1:10" ht="16" hidden="1" customHeight="1" x14ac:dyDescent="0.2">
      <c r="A84" s="43">
        <v>46270</v>
      </c>
      <c r="B84" s="13" t="s">
        <v>142</v>
      </c>
      <c r="C84" s="13" t="s">
        <v>141</v>
      </c>
      <c r="D84" s="93">
        <v>10</v>
      </c>
      <c r="E84" s="93">
        <v>1</v>
      </c>
      <c r="F84" s="93" t="s">
        <v>196</v>
      </c>
      <c r="G84" s="96">
        <v>21</v>
      </c>
      <c r="H84" s="97">
        <v>0.5</v>
      </c>
      <c r="I84" s="93">
        <v>33.909999999999997</v>
      </c>
      <c r="J84" t="str">
        <f t="shared" si="1"/>
        <v>Yes</v>
      </c>
    </row>
    <row r="85" spans="1:10" ht="16" hidden="1" customHeight="1" x14ac:dyDescent="0.2">
      <c r="A85" s="43">
        <v>46270</v>
      </c>
      <c r="B85" s="13" t="s">
        <v>142</v>
      </c>
      <c r="C85" s="13" t="s">
        <v>141</v>
      </c>
      <c r="D85" s="93">
        <v>10</v>
      </c>
      <c r="E85" s="93">
        <v>2</v>
      </c>
      <c r="F85" s="93" t="s">
        <v>197</v>
      </c>
      <c r="G85" s="96">
        <v>8.1999999999999993</v>
      </c>
      <c r="H85" s="97">
        <v>0.5</v>
      </c>
      <c r="I85" s="93">
        <v>12</v>
      </c>
      <c r="J85" t="str">
        <f t="shared" si="1"/>
        <v>Yes</v>
      </c>
    </row>
    <row r="86" spans="1:10" ht="16" hidden="1" customHeight="1" x14ac:dyDescent="0.2">
      <c r="A86" s="43">
        <v>46270</v>
      </c>
      <c r="B86" s="13" t="s">
        <v>142</v>
      </c>
      <c r="C86" s="13" t="s">
        <v>141</v>
      </c>
      <c r="D86" s="93">
        <v>10</v>
      </c>
      <c r="E86" s="93">
        <v>8</v>
      </c>
      <c r="F86" s="93" t="s">
        <v>198</v>
      </c>
      <c r="G86" s="96">
        <v>10.5</v>
      </c>
      <c r="H86" s="97">
        <v>0.5</v>
      </c>
      <c r="I86" s="93">
        <v>11</v>
      </c>
      <c r="J86" t="str">
        <f t="shared" si="1"/>
        <v>Yes</v>
      </c>
    </row>
    <row r="87" spans="1:10" ht="16" hidden="1" customHeight="1" x14ac:dyDescent="0.2">
      <c r="A87" s="43">
        <v>46270</v>
      </c>
      <c r="B87" s="13" t="s">
        <v>134</v>
      </c>
      <c r="C87" s="13" t="s">
        <v>138</v>
      </c>
      <c r="D87" s="93">
        <v>10</v>
      </c>
      <c r="E87" s="93">
        <v>3</v>
      </c>
      <c r="F87" s="93" t="s">
        <v>199</v>
      </c>
      <c r="G87" s="96">
        <v>30</v>
      </c>
      <c r="H87" s="97">
        <v>0.5</v>
      </c>
      <c r="I87" s="93">
        <v>46.14</v>
      </c>
      <c r="J87" t="str">
        <f t="shared" si="1"/>
        <v>Yes</v>
      </c>
    </row>
    <row r="88" spans="1:10" ht="16" hidden="1" customHeight="1" x14ac:dyDescent="0.2">
      <c r="A88" s="43">
        <v>46270</v>
      </c>
      <c r="B88" s="13" t="s">
        <v>134</v>
      </c>
      <c r="C88" s="13" t="s">
        <v>138</v>
      </c>
      <c r="D88" s="93">
        <v>10</v>
      </c>
      <c r="E88" s="93">
        <v>5</v>
      </c>
      <c r="F88" s="93" t="s">
        <v>200</v>
      </c>
      <c r="G88" s="96">
        <v>12.5</v>
      </c>
      <c r="H88" s="97">
        <v>0.5</v>
      </c>
      <c r="I88" s="93">
        <v>18.489999999999998</v>
      </c>
      <c r="J88" t="str">
        <f t="shared" si="1"/>
        <v>Yes</v>
      </c>
    </row>
    <row r="89" spans="1:10" ht="16" hidden="1" customHeight="1" x14ac:dyDescent="0.2">
      <c r="A89" s="43">
        <v>46270</v>
      </c>
      <c r="B89" s="13" t="s">
        <v>134</v>
      </c>
      <c r="C89" s="13" t="s">
        <v>138</v>
      </c>
      <c r="D89" s="93">
        <v>10</v>
      </c>
      <c r="E89" s="93">
        <v>6</v>
      </c>
      <c r="F89" s="93" t="s">
        <v>201</v>
      </c>
      <c r="G89" s="96">
        <v>20</v>
      </c>
      <c r="H89" s="97">
        <v>0.5</v>
      </c>
      <c r="I89" s="93">
        <v>35.880000000000003</v>
      </c>
      <c r="J89" t="str">
        <f t="shared" si="1"/>
        <v>Yes</v>
      </c>
    </row>
    <row r="90" spans="1:10" ht="16" hidden="1" customHeight="1" x14ac:dyDescent="0.2">
      <c r="A90" s="43">
        <v>46270</v>
      </c>
      <c r="B90" s="13" t="s">
        <v>134</v>
      </c>
      <c r="C90" s="13" t="s">
        <v>138</v>
      </c>
      <c r="D90" s="93">
        <v>10</v>
      </c>
      <c r="E90" s="93">
        <v>7</v>
      </c>
      <c r="F90" s="93" t="s">
        <v>202</v>
      </c>
      <c r="G90" s="96">
        <v>12</v>
      </c>
      <c r="H90" s="97">
        <v>0.5</v>
      </c>
      <c r="I90" s="93">
        <v>16.5</v>
      </c>
      <c r="J90" t="str">
        <f t="shared" si="1"/>
        <v>Yes</v>
      </c>
    </row>
    <row r="91" spans="1:10" ht="16" hidden="1" customHeight="1" x14ac:dyDescent="0.2">
      <c r="A91" s="43">
        <v>46270</v>
      </c>
      <c r="B91" s="13" t="s">
        <v>134</v>
      </c>
      <c r="C91" s="13" t="s">
        <v>138</v>
      </c>
      <c r="D91" s="93">
        <v>10</v>
      </c>
      <c r="E91" s="93">
        <v>9</v>
      </c>
      <c r="F91" s="93" t="s">
        <v>203</v>
      </c>
      <c r="G91" s="96">
        <v>7.8</v>
      </c>
      <c r="H91" s="97">
        <v>0.5</v>
      </c>
      <c r="I91" s="93">
        <v>7.8</v>
      </c>
      <c r="J91" t="str">
        <f t="shared" si="1"/>
        <v>Yes</v>
      </c>
    </row>
    <row r="92" spans="1:10" ht="16" hidden="1" customHeight="1" x14ac:dyDescent="0.2">
      <c r="A92" s="43">
        <v>46270</v>
      </c>
      <c r="B92" s="13" t="s">
        <v>134</v>
      </c>
      <c r="C92" s="13" t="s">
        <v>138</v>
      </c>
      <c r="D92" s="93">
        <v>10</v>
      </c>
      <c r="E92" s="93">
        <v>11</v>
      </c>
      <c r="F92" s="93" t="s">
        <v>204</v>
      </c>
      <c r="G92" s="96">
        <v>19</v>
      </c>
      <c r="H92" s="97">
        <v>0.5</v>
      </c>
      <c r="I92" s="93">
        <v>29.76</v>
      </c>
      <c r="J92" t="str">
        <f t="shared" si="1"/>
        <v>Yes</v>
      </c>
    </row>
    <row r="93" spans="1:10" ht="16" hidden="1" customHeight="1" x14ac:dyDescent="0.2">
      <c r="A93" s="43">
        <v>46277</v>
      </c>
      <c r="B93" s="13" t="s">
        <v>142</v>
      </c>
      <c r="C93" s="13" t="s">
        <v>140</v>
      </c>
      <c r="D93" s="93">
        <v>1</v>
      </c>
      <c r="E93" s="93">
        <v>2</v>
      </c>
      <c r="F93" s="93" t="s">
        <v>207</v>
      </c>
      <c r="G93" s="96">
        <v>30</v>
      </c>
      <c r="H93" s="97">
        <v>0.5</v>
      </c>
      <c r="I93" s="93">
        <v>22.57</v>
      </c>
      <c r="J93" t="str">
        <f t="shared" si="1"/>
        <v>No</v>
      </c>
    </row>
    <row r="94" spans="1:10" ht="16" hidden="1" customHeight="1" x14ac:dyDescent="0.2">
      <c r="A94" s="43">
        <v>46277</v>
      </c>
      <c r="B94" s="13" t="s">
        <v>142</v>
      </c>
      <c r="C94" s="13" t="s">
        <v>140</v>
      </c>
      <c r="D94" s="93">
        <v>1</v>
      </c>
      <c r="E94" s="93">
        <v>4</v>
      </c>
      <c r="F94" s="93" t="s">
        <v>208</v>
      </c>
      <c r="G94" s="96">
        <v>24</v>
      </c>
      <c r="H94" s="97">
        <v>0.5</v>
      </c>
      <c r="I94" s="93">
        <v>40</v>
      </c>
      <c r="J94" t="str">
        <f t="shared" si="1"/>
        <v>Yes</v>
      </c>
    </row>
    <row r="95" spans="1:10" ht="16" hidden="1" customHeight="1" x14ac:dyDescent="0.2">
      <c r="A95" s="43">
        <v>46277</v>
      </c>
      <c r="B95" s="13" t="s">
        <v>142</v>
      </c>
      <c r="C95" s="13" t="s">
        <v>140</v>
      </c>
      <c r="D95" s="93">
        <v>1</v>
      </c>
      <c r="E95" s="93">
        <v>7</v>
      </c>
      <c r="F95" s="93" t="s">
        <v>209</v>
      </c>
      <c r="G95" s="96">
        <v>23</v>
      </c>
      <c r="H95" s="97">
        <v>0.5</v>
      </c>
      <c r="I95" s="93">
        <v>22</v>
      </c>
      <c r="J95" t="str">
        <f t="shared" si="1"/>
        <v>No</v>
      </c>
    </row>
    <row r="96" spans="1:10" ht="16" hidden="1" customHeight="1" x14ac:dyDescent="0.2">
      <c r="A96" s="43">
        <v>46277</v>
      </c>
      <c r="B96" s="13" t="s">
        <v>142</v>
      </c>
      <c r="C96" s="13" t="s">
        <v>140</v>
      </c>
      <c r="D96" s="93">
        <v>1</v>
      </c>
      <c r="E96" s="93">
        <v>13</v>
      </c>
      <c r="F96" s="93" t="s">
        <v>210</v>
      </c>
      <c r="G96" s="96">
        <v>8.1999999999999993</v>
      </c>
      <c r="H96" s="97">
        <v>0.5</v>
      </c>
      <c r="I96" s="93">
        <v>8.1999999999999993</v>
      </c>
      <c r="J96" t="str">
        <f t="shared" si="1"/>
        <v>Yes</v>
      </c>
    </row>
    <row r="97" spans="1:10" ht="16" hidden="1" customHeight="1" x14ac:dyDescent="0.2">
      <c r="A97" s="43">
        <v>46277</v>
      </c>
      <c r="B97" s="13" t="s">
        <v>142</v>
      </c>
      <c r="C97" s="13" t="s">
        <v>140</v>
      </c>
      <c r="D97" s="93">
        <v>1</v>
      </c>
      <c r="E97" s="93">
        <v>16</v>
      </c>
      <c r="F97" s="93" t="s">
        <v>211</v>
      </c>
      <c r="G97" s="96">
        <v>19</v>
      </c>
      <c r="H97" s="97">
        <v>0.5</v>
      </c>
      <c r="I97" s="93">
        <v>18.22</v>
      </c>
      <c r="J97" t="str">
        <f t="shared" si="1"/>
        <v>No</v>
      </c>
    </row>
    <row r="98" spans="1:10" ht="16" hidden="1" customHeight="1" x14ac:dyDescent="0.2">
      <c r="A98" s="43">
        <v>46277</v>
      </c>
      <c r="B98" s="13" t="s">
        <v>134</v>
      </c>
      <c r="C98" s="13" t="s">
        <v>139</v>
      </c>
      <c r="D98" s="93">
        <v>1</v>
      </c>
      <c r="E98" s="93">
        <v>6</v>
      </c>
      <c r="F98" s="93" t="s">
        <v>150</v>
      </c>
      <c r="G98" s="96">
        <v>10.5</v>
      </c>
      <c r="H98" s="97">
        <v>0.5</v>
      </c>
      <c r="I98" s="93">
        <v>14.5</v>
      </c>
      <c r="J98" t="str">
        <f t="shared" si="1"/>
        <v>Yes</v>
      </c>
    </row>
    <row r="99" spans="1:10" ht="16" hidden="1" customHeight="1" x14ac:dyDescent="0.2">
      <c r="A99" s="43">
        <v>46277</v>
      </c>
      <c r="B99" s="13" t="s">
        <v>134</v>
      </c>
      <c r="C99" s="13" t="s">
        <v>139</v>
      </c>
      <c r="D99" s="93">
        <v>1</v>
      </c>
      <c r="E99" s="93">
        <v>13</v>
      </c>
      <c r="F99" s="93" t="s">
        <v>212</v>
      </c>
      <c r="G99" s="96">
        <v>29</v>
      </c>
      <c r="H99" s="97">
        <v>0.5</v>
      </c>
      <c r="I99" s="93">
        <v>76.23</v>
      </c>
      <c r="J99" t="str">
        <f t="shared" si="1"/>
        <v>Yes</v>
      </c>
    </row>
    <row r="100" spans="1:10" ht="16" hidden="1" customHeight="1" x14ac:dyDescent="0.2">
      <c r="A100" s="43">
        <v>46277</v>
      </c>
      <c r="B100" s="13" t="s">
        <v>134</v>
      </c>
      <c r="C100" s="13" t="s">
        <v>139</v>
      </c>
      <c r="D100" s="93">
        <v>1</v>
      </c>
      <c r="E100" s="93">
        <v>14</v>
      </c>
      <c r="F100" s="93" t="s">
        <v>213</v>
      </c>
      <c r="G100" s="96">
        <v>12</v>
      </c>
      <c r="H100" s="97">
        <v>0.5</v>
      </c>
      <c r="I100" s="93">
        <v>23</v>
      </c>
      <c r="J100" t="str">
        <f t="shared" si="1"/>
        <v>Yes</v>
      </c>
    </row>
    <row r="101" spans="1:10" ht="16" hidden="1" customHeight="1" x14ac:dyDescent="0.2">
      <c r="A101" s="43">
        <v>46277</v>
      </c>
      <c r="B101" s="13" t="s">
        <v>134</v>
      </c>
      <c r="C101" s="13" t="s">
        <v>139</v>
      </c>
      <c r="D101" s="93">
        <v>1</v>
      </c>
      <c r="E101" s="93">
        <v>17</v>
      </c>
      <c r="F101" s="93" t="s">
        <v>214</v>
      </c>
      <c r="G101" s="96">
        <v>32</v>
      </c>
      <c r="H101" s="97">
        <v>0.5</v>
      </c>
      <c r="I101" s="93">
        <v>19.13</v>
      </c>
      <c r="J101" t="str">
        <f t="shared" si="1"/>
        <v>No</v>
      </c>
    </row>
    <row r="102" spans="1:10" ht="16" hidden="1" customHeight="1" x14ac:dyDescent="0.2">
      <c r="A102" s="43">
        <v>46277</v>
      </c>
      <c r="B102" s="13" t="s">
        <v>142</v>
      </c>
      <c r="C102" s="13" t="s">
        <v>140</v>
      </c>
      <c r="D102" s="93">
        <v>2</v>
      </c>
      <c r="E102" s="93">
        <v>2</v>
      </c>
      <c r="F102" s="93" t="s">
        <v>215</v>
      </c>
      <c r="G102" s="96">
        <v>9.8000000000000007</v>
      </c>
      <c r="H102" s="97">
        <v>0.5</v>
      </c>
      <c r="I102" s="93">
        <v>12</v>
      </c>
      <c r="J102" t="str">
        <f t="shared" si="1"/>
        <v>Yes</v>
      </c>
    </row>
    <row r="103" spans="1:10" ht="16" hidden="1" customHeight="1" x14ac:dyDescent="0.2">
      <c r="A103" s="43">
        <v>46277</v>
      </c>
      <c r="B103" s="13" t="s">
        <v>134</v>
      </c>
      <c r="C103" s="13" t="s">
        <v>139</v>
      </c>
      <c r="D103" s="93">
        <v>2</v>
      </c>
      <c r="E103" s="93">
        <v>5</v>
      </c>
      <c r="F103" s="93" t="s">
        <v>216</v>
      </c>
      <c r="G103" s="96">
        <v>34</v>
      </c>
      <c r="H103" s="97">
        <v>0.5</v>
      </c>
      <c r="I103" s="93">
        <v>15.5</v>
      </c>
      <c r="J103" t="str">
        <f t="shared" si="1"/>
        <v>No</v>
      </c>
    </row>
    <row r="104" spans="1:10" ht="16" hidden="1" customHeight="1" x14ac:dyDescent="0.2">
      <c r="A104" s="43">
        <v>46277</v>
      </c>
      <c r="B104" s="13" t="s">
        <v>134</v>
      </c>
      <c r="C104" s="13" t="s">
        <v>139</v>
      </c>
      <c r="D104" s="93">
        <v>2</v>
      </c>
      <c r="E104" s="93">
        <v>8</v>
      </c>
      <c r="F104" s="93" t="s">
        <v>217</v>
      </c>
      <c r="G104" s="96">
        <v>23</v>
      </c>
      <c r="H104" s="97">
        <v>0.5</v>
      </c>
      <c r="I104" s="93">
        <v>18.5</v>
      </c>
      <c r="J104" t="str">
        <f t="shared" si="1"/>
        <v>No</v>
      </c>
    </row>
    <row r="105" spans="1:10" ht="16" hidden="1" customHeight="1" x14ac:dyDescent="0.2">
      <c r="A105" s="43">
        <v>46277</v>
      </c>
      <c r="B105" s="13" t="s">
        <v>134</v>
      </c>
      <c r="C105" s="13" t="s">
        <v>139</v>
      </c>
      <c r="D105" s="93">
        <v>2</v>
      </c>
      <c r="E105" s="93">
        <v>12</v>
      </c>
      <c r="F105" s="93" t="s">
        <v>218</v>
      </c>
      <c r="G105" s="96">
        <v>27</v>
      </c>
      <c r="H105" s="97">
        <v>0.5</v>
      </c>
      <c r="I105" s="93">
        <v>26</v>
      </c>
      <c r="J105" t="str">
        <f t="shared" si="1"/>
        <v>No</v>
      </c>
    </row>
    <row r="106" spans="1:10" ht="16" hidden="1" customHeight="1" x14ac:dyDescent="0.2">
      <c r="A106" s="43">
        <v>46277</v>
      </c>
      <c r="B106" s="13" t="s">
        <v>134</v>
      </c>
      <c r="C106" s="13" t="s">
        <v>139</v>
      </c>
      <c r="D106" s="93">
        <v>2</v>
      </c>
      <c r="E106" s="93">
        <v>14</v>
      </c>
      <c r="F106" s="93" t="s">
        <v>219</v>
      </c>
      <c r="G106" s="96">
        <v>24</v>
      </c>
      <c r="H106" s="97">
        <v>0.5</v>
      </c>
      <c r="I106" s="93">
        <v>28.11</v>
      </c>
      <c r="J106" t="str">
        <f t="shared" si="1"/>
        <v>Yes</v>
      </c>
    </row>
    <row r="107" spans="1:10" ht="16" hidden="1" customHeight="1" x14ac:dyDescent="0.2">
      <c r="A107" s="43">
        <v>46277</v>
      </c>
      <c r="B107" s="13" t="s">
        <v>134</v>
      </c>
      <c r="C107" s="13" t="s">
        <v>139</v>
      </c>
      <c r="D107" s="93">
        <v>2</v>
      </c>
      <c r="E107" s="93">
        <v>15</v>
      </c>
      <c r="F107" s="93" t="s">
        <v>220</v>
      </c>
      <c r="G107" s="96">
        <v>10.5</v>
      </c>
      <c r="H107" s="97">
        <v>0.5</v>
      </c>
      <c r="I107" s="93">
        <v>7.4</v>
      </c>
      <c r="J107" t="str">
        <f t="shared" si="1"/>
        <v>No</v>
      </c>
    </row>
    <row r="108" spans="1:10" ht="16" hidden="1" customHeight="1" x14ac:dyDescent="0.2">
      <c r="A108" s="43">
        <v>46277</v>
      </c>
      <c r="B108" s="13" t="s">
        <v>142</v>
      </c>
      <c r="C108" s="13" t="s">
        <v>140</v>
      </c>
      <c r="D108" s="93">
        <v>3</v>
      </c>
      <c r="E108" s="93">
        <v>1</v>
      </c>
      <c r="F108" s="93" t="s">
        <v>221</v>
      </c>
      <c r="G108" s="96">
        <v>24</v>
      </c>
      <c r="H108" s="97">
        <v>0.5</v>
      </c>
      <c r="I108" s="93">
        <v>29.37</v>
      </c>
      <c r="J108" t="str">
        <f t="shared" si="1"/>
        <v>Yes</v>
      </c>
    </row>
    <row r="109" spans="1:10" ht="16" hidden="1" customHeight="1" x14ac:dyDescent="0.2">
      <c r="A109" s="43">
        <v>46277</v>
      </c>
      <c r="B109" s="13" t="s">
        <v>142</v>
      </c>
      <c r="C109" s="13" t="s">
        <v>140</v>
      </c>
      <c r="D109" s="93">
        <v>3</v>
      </c>
      <c r="E109" s="93">
        <v>9</v>
      </c>
      <c r="F109" s="93" t="s">
        <v>222</v>
      </c>
      <c r="G109" s="96">
        <v>22</v>
      </c>
      <c r="H109" s="97">
        <v>0.5</v>
      </c>
      <c r="I109" s="93">
        <v>41.53</v>
      </c>
      <c r="J109" t="str">
        <f t="shared" si="1"/>
        <v>Yes</v>
      </c>
    </row>
    <row r="110" spans="1:10" ht="16" hidden="1" customHeight="1" x14ac:dyDescent="0.2">
      <c r="A110" s="43">
        <v>46277</v>
      </c>
      <c r="B110" s="13" t="s">
        <v>142</v>
      </c>
      <c r="C110" s="13" t="s">
        <v>140</v>
      </c>
      <c r="D110" s="93">
        <v>3</v>
      </c>
      <c r="E110" s="93">
        <v>10</v>
      </c>
      <c r="F110" s="93" t="s">
        <v>223</v>
      </c>
      <c r="G110" s="96">
        <v>9.6</v>
      </c>
      <c r="H110" s="97">
        <v>0.5</v>
      </c>
      <c r="I110" s="93">
        <v>8.01</v>
      </c>
      <c r="J110" t="str">
        <f t="shared" si="1"/>
        <v>No</v>
      </c>
    </row>
    <row r="111" spans="1:10" ht="16" hidden="1" customHeight="1" x14ac:dyDescent="0.2">
      <c r="A111" s="43">
        <v>46277</v>
      </c>
      <c r="B111" s="13" t="s">
        <v>142</v>
      </c>
      <c r="C111" s="13" t="s">
        <v>140</v>
      </c>
      <c r="D111" s="93">
        <v>3</v>
      </c>
      <c r="E111" s="93">
        <v>13</v>
      </c>
      <c r="F111" s="93" t="s">
        <v>179</v>
      </c>
      <c r="G111" s="96">
        <v>8.8000000000000007</v>
      </c>
      <c r="H111" s="97">
        <v>0.5</v>
      </c>
      <c r="I111" s="93">
        <v>6.4</v>
      </c>
      <c r="J111" t="str">
        <f t="shared" si="1"/>
        <v>No</v>
      </c>
    </row>
    <row r="112" spans="1:10" ht="16" hidden="1" customHeight="1" x14ac:dyDescent="0.2">
      <c r="A112" s="43">
        <v>46277</v>
      </c>
      <c r="B112" s="13" t="s">
        <v>134</v>
      </c>
      <c r="C112" s="13" t="s">
        <v>139</v>
      </c>
      <c r="D112" s="93">
        <v>3</v>
      </c>
      <c r="E112" s="93">
        <v>7</v>
      </c>
      <c r="F112" s="93" t="s">
        <v>224</v>
      </c>
      <c r="G112" s="96">
        <v>7</v>
      </c>
      <c r="H112" s="97">
        <v>0.5</v>
      </c>
      <c r="I112" s="93">
        <v>10.5</v>
      </c>
      <c r="J112" t="str">
        <f t="shared" si="1"/>
        <v>Yes</v>
      </c>
    </row>
    <row r="113" spans="1:10" ht="16" hidden="1" customHeight="1" x14ac:dyDescent="0.2">
      <c r="A113" s="43">
        <v>46277</v>
      </c>
      <c r="B113" s="13" t="s">
        <v>142</v>
      </c>
      <c r="C113" s="13" t="s">
        <v>140</v>
      </c>
      <c r="D113" s="93">
        <v>4</v>
      </c>
      <c r="E113" s="93">
        <v>2</v>
      </c>
      <c r="F113" s="93" t="s">
        <v>225</v>
      </c>
      <c r="G113" s="96">
        <v>19</v>
      </c>
      <c r="H113" s="97">
        <v>0.5</v>
      </c>
      <c r="I113" s="93">
        <v>40.83</v>
      </c>
      <c r="J113" t="str">
        <f t="shared" si="1"/>
        <v>Yes</v>
      </c>
    </row>
    <row r="114" spans="1:10" ht="16" hidden="1" customHeight="1" x14ac:dyDescent="0.2">
      <c r="A114" s="43">
        <v>46277</v>
      </c>
      <c r="B114" s="13" t="s">
        <v>142</v>
      </c>
      <c r="C114" s="13" t="s">
        <v>140</v>
      </c>
      <c r="D114" s="93">
        <v>4</v>
      </c>
      <c r="E114" s="93">
        <v>4</v>
      </c>
      <c r="F114" s="93" t="s">
        <v>226</v>
      </c>
      <c r="G114" s="96">
        <v>12</v>
      </c>
      <c r="H114" s="97">
        <v>0.5</v>
      </c>
      <c r="I114" s="93">
        <v>24.93</v>
      </c>
      <c r="J114" t="str">
        <f t="shared" si="1"/>
        <v>Yes</v>
      </c>
    </row>
    <row r="115" spans="1:10" ht="16" hidden="1" customHeight="1" x14ac:dyDescent="0.2">
      <c r="A115" s="43">
        <v>46277</v>
      </c>
      <c r="B115" s="13" t="s">
        <v>142</v>
      </c>
      <c r="C115" s="13" t="s">
        <v>140</v>
      </c>
      <c r="D115" s="93">
        <v>4</v>
      </c>
      <c r="E115" s="93">
        <v>6</v>
      </c>
      <c r="F115" s="93" t="s">
        <v>227</v>
      </c>
      <c r="G115" s="96">
        <v>17</v>
      </c>
      <c r="H115" s="97">
        <v>0.5</v>
      </c>
      <c r="I115" s="93">
        <v>19.07</v>
      </c>
      <c r="J115" t="str">
        <f t="shared" si="1"/>
        <v>Yes</v>
      </c>
    </row>
    <row r="116" spans="1:10" ht="16" hidden="1" customHeight="1" x14ac:dyDescent="0.2">
      <c r="A116" s="43">
        <v>46277</v>
      </c>
      <c r="B116" s="13" t="s">
        <v>142</v>
      </c>
      <c r="C116" s="13" t="s">
        <v>140</v>
      </c>
      <c r="D116" s="93">
        <v>4</v>
      </c>
      <c r="E116" s="93">
        <v>8</v>
      </c>
      <c r="F116" s="93" t="s">
        <v>167</v>
      </c>
      <c r="G116" s="96">
        <v>29</v>
      </c>
      <c r="H116" s="97">
        <v>0.5</v>
      </c>
      <c r="I116" s="93">
        <v>10</v>
      </c>
      <c r="J116" t="str">
        <f t="shared" si="1"/>
        <v>No</v>
      </c>
    </row>
    <row r="117" spans="1:10" ht="16" hidden="1" customHeight="1" x14ac:dyDescent="0.2">
      <c r="A117" s="43">
        <v>46277</v>
      </c>
      <c r="B117" s="13" t="s">
        <v>134</v>
      </c>
      <c r="C117" s="13" t="s">
        <v>139</v>
      </c>
      <c r="D117" s="93">
        <v>4</v>
      </c>
      <c r="E117" s="93">
        <v>1</v>
      </c>
      <c r="F117" s="93" t="s">
        <v>228</v>
      </c>
      <c r="G117" s="96">
        <v>38</v>
      </c>
      <c r="H117" s="97">
        <v>0.5</v>
      </c>
      <c r="I117" s="93">
        <v>38</v>
      </c>
      <c r="J117" t="str">
        <f t="shared" si="1"/>
        <v>Yes</v>
      </c>
    </row>
    <row r="118" spans="1:10" ht="16" hidden="1" customHeight="1" x14ac:dyDescent="0.2">
      <c r="A118" s="43">
        <v>46277</v>
      </c>
      <c r="B118" s="13" t="s">
        <v>134</v>
      </c>
      <c r="C118" s="13" t="s">
        <v>139</v>
      </c>
      <c r="D118" s="93">
        <v>4</v>
      </c>
      <c r="E118" s="93">
        <v>3</v>
      </c>
      <c r="F118" s="93" t="s">
        <v>229</v>
      </c>
      <c r="G118" s="96">
        <v>27</v>
      </c>
      <c r="H118" s="97">
        <v>0.5</v>
      </c>
      <c r="I118" s="93">
        <v>16</v>
      </c>
      <c r="J118" t="str">
        <f t="shared" si="1"/>
        <v>No</v>
      </c>
    </row>
    <row r="119" spans="1:10" ht="16" hidden="1" customHeight="1" x14ac:dyDescent="0.2">
      <c r="A119" s="43">
        <v>46277</v>
      </c>
      <c r="B119" s="13" t="s">
        <v>134</v>
      </c>
      <c r="C119" s="13" t="s">
        <v>139</v>
      </c>
      <c r="D119" s="93">
        <v>4</v>
      </c>
      <c r="E119" s="93">
        <v>4</v>
      </c>
      <c r="F119" s="93" t="s">
        <v>230</v>
      </c>
      <c r="G119" s="96">
        <v>27</v>
      </c>
      <c r="H119" s="97">
        <v>0.5</v>
      </c>
      <c r="I119" s="93">
        <v>38.54</v>
      </c>
      <c r="J119" t="str">
        <f t="shared" si="1"/>
        <v>Yes</v>
      </c>
    </row>
    <row r="120" spans="1:10" ht="16" hidden="1" customHeight="1" x14ac:dyDescent="0.2">
      <c r="A120" s="43">
        <v>46277</v>
      </c>
      <c r="B120" s="13" t="s">
        <v>134</v>
      </c>
      <c r="C120" s="13" t="s">
        <v>139</v>
      </c>
      <c r="D120" s="93">
        <v>4</v>
      </c>
      <c r="E120" s="93">
        <v>5</v>
      </c>
      <c r="F120" s="93" t="s">
        <v>231</v>
      </c>
      <c r="G120" s="96">
        <v>15</v>
      </c>
      <c r="H120" s="97">
        <v>0.5</v>
      </c>
      <c r="I120" s="93">
        <v>29.49</v>
      </c>
      <c r="J120" t="str">
        <f t="shared" si="1"/>
        <v>Yes</v>
      </c>
    </row>
    <row r="121" spans="1:10" ht="16" hidden="1" customHeight="1" x14ac:dyDescent="0.2">
      <c r="A121" s="43">
        <v>46277</v>
      </c>
      <c r="B121" s="13" t="s">
        <v>134</v>
      </c>
      <c r="C121" s="13" t="s">
        <v>139</v>
      </c>
      <c r="D121" s="93">
        <v>4</v>
      </c>
      <c r="E121" s="93">
        <v>8</v>
      </c>
      <c r="F121" s="93" t="s">
        <v>232</v>
      </c>
      <c r="G121" s="96">
        <v>11</v>
      </c>
      <c r="H121" s="97">
        <v>0.5</v>
      </c>
      <c r="I121" s="93">
        <v>11</v>
      </c>
      <c r="J121" t="str">
        <f t="shared" si="1"/>
        <v>Yes</v>
      </c>
    </row>
    <row r="122" spans="1:10" ht="16" hidden="1" customHeight="1" x14ac:dyDescent="0.2">
      <c r="A122" s="43">
        <v>46277</v>
      </c>
      <c r="B122" s="13" t="s">
        <v>134</v>
      </c>
      <c r="C122" s="13" t="s">
        <v>139</v>
      </c>
      <c r="D122" s="93">
        <v>4</v>
      </c>
      <c r="E122" s="93">
        <v>9</v>
      </c>
      <c r="F122" s="93" t="s">
        <v>233</v>
      </c>
      <c r="G122" s="96">
        <v>25</v>
      </c>
      <c r="H122" s="97">
        <v>0.5</v>
      </c>
      <c r="I122" s="93">
        <v>25.67</v>
      </c>
      <c r="J122" t="str">
        <f t="shared" si="1"/>
        <v>Yes</v>
      </c>
    </row>
    <row r="123" spans="1:10" ht="16" hidden="1" customHeight="1" x14ac:dyDescent="0.2">
      <c r="A123" s="43">
        <v>46277</v>
      </c>
      <c r="B123" s="13" t="s">
        <v>142</v>
      </c>
      <c r="C123" s="13" t="s">
        <v>140</v>
      </c>
      <c r="D123" s="93">
        <v>5</v>
      </c>
      <c r="E123" s="93">
        <v>14</v>
      </c>
      <c r="F123" s="93" t="s">
        <v>234</v>
      </c>
      <c r="G123" s="96">
        <v>27</v>
      </c>
      <c r="H123" s="97">
        <v>0.5</v>
      </c>
      <c r="I123" s="93">
        <v>29</v>
      </c>
      <c r="J123" t="str">
        <f t="shared" si="1"/>
        <v>Yes</v>
      </c>
    </row>
    <row r="124" spans="1:10" ht="16" hidden="1" customHeight="1" x14ac:dyDescent="0.2">
      <c r="A124" s="43">
        <v>46277</v>
      </c>
      <c r="B124" s="13" t="s">
        <v>134</v>
      </c>
      <c r="C124" s="13" t="s">
        <v>139</v>
      </c>
      <c r="D124" s="93">
        <v>5</v>
      </c>
      <c r="E124" s="93">
        <v>3</v>
      </c>
      <c r="F124" s="93" t="s">
        <v>235</v>
      </c>
      <c r="G124" s="96">
        <v>6.8</v>
      </c>
      <c r="H124" s="97">
        <v>0.5</v>
      </c>
      <c r="I124" s="93">
        <v>8</v>
      </c>
      <c r="J124" t="str">
        <f t="shared" si="1"/>
        <v>Yes</v>
      </c>
    </row>
    <row r="125" spans="1:10" ht="16" hidden="1" customHeight="1" x14ac:dyDescent="0.2">
      <c r="A125" s="43">
        <v>46277</v>
      </c>
      <c r="B125" s="13" t="s">
        <v>134</v>
      </c>
      <c r="C125" s="13" t="s">
        <v>139</v>
      </c>
      <c r="D125" s="93">
        <v>5</v>
      </c>
      <c r="E125" s="93">
        <v>6</v>
      </c>
      <c r="F125" s="93" t="s">
        <v>236</v>
      </c>
      <c r="G125" s="96">
        <v>14</v>
      </c>
      <c r="H125" s="97">
        <v>0.5</v>
      </c>
      <c r="I125" s="93">
        <v>13.27</v>
      </c>
      <c r="J125" t="str">
        <f t="shared" si="1"/>
        <v>No</v>
      </c>
    </row>
    <row r="126" spans="1:10" ht="16" hidden="1" customHeight="1" x14ac:dyDescent="0.2">
      <c r="A126" s="43">
        <v>46277</v>
      </c>
      <c r="B126" s="13" t="s">
        <v>134</v>
      </c>
      <c r="C126" s="13" t="s">
        <v>139</v>
      </c>
      <c r="D126" s="93">
        <v>5</v>
      </c>
      <c r="E126" s="93">
        <v>10</v>
      </c>
      <c r="F126" s="93" t="s">
        <v>237</v>
      </c>
      <c r="G126" s="96">
        <v>7.4</v>
      </c>
      <c r="H126" s="97">
        <v>0.5</v>
      </c>
      <c r="I126" s="93">
        <v>9.6</v>
      </c>
      <c r="J126" t="str">
        <f t="shared" si="1"/>
        <v>Yes</v>
      </c>
    </row>
    <row r="127" spans="1:10" ht="16" hidden="1" customHeight="1" x14ac:dyDescent="0.2">
      <c r="A127" s="43">
        <v>46277</v>
      </c>
      <c r="B127" s="13" t="s">
        <v>134</v>
      </c>
      <c r="C127" s="13" t="s">
        <v>139</v>
      </c>
      <c r="D127" s="93">
        <v>6</v>
      </c>
      <c r="E127" s="93">
        <v>3</v>
      </c>
      <c r="F127" s="93" t="s">
        <v>238</v>
      </c>
      <c r="G127" s="96">
        <v>11.5</v>
      </c>
      <c r="H127" s="97">
        <v>0.5</v>
      </c>
      <c r="I127" s="93">
        <v>16</v>
      </c>
      <c r="J127" t="str">
        <f t="shared" si="1"/>
        <v>Yes</v>
      </c>
    </row>
    <row r="128" spans="1:10" ht="16" hidden="1" customHeight="1" x14ac:dyDescent="0.2">
      <c r="A128" s="43">
        <v>46277</v>
      </c>
      <c r="B128" s="13" t="s">
        <v>134</v>
      </c>
      <c r="C128" s="13" t="s">
        <v>139</v>
      </c>
      <c r="D128" s="93">
        <v>6</v>
      </c>
      <c r="E128" s="93">
        <v>5</v>
      </c>
      <c r="F128" s="93" t="s">
        <v>239</v>
      </c>
      <c r="G128" s="96">
        <v>7.2</v>
      </c>
      <c r="H128" s="97">
        <v>0.5</v>
      </c>
      <c r="I128" s="93">
        <v>5.0999999999999996</v>
      </c>
      <c r="J128" t="str">
        <f t="shared" si="1"/>
        <v>No</v>
      </c>
    </row>
    <row r="129" spans="1:10" ht="16" hidden="1" customHeight="1" x14ac:dyDescent="0.2">
      <c r="A129" s="43">
        <v>46277</v>
      </c>
      <c r="B129" s="13" t="s">
        <v>134</v>
      </c>
      <c r="C129" s="13" t="s">
        <v>139</v>
      </c>
      <c r="D129" s="93">
        <v>6</v>
      </c>
      <c r="E129" s="93">
        <v>7</v>
      </c>
      <c r="F129" s="93" t="s">
        <v>240</v>
      </c>
      <c r="G129" s="96">
        <v>19</v>
      </c>
      <c r="H129" s="97">
        <v>0.5</v>
      </c>
      <c r="I129" s="93">
        <v>19.41</v>
      </c>
      <c r="J129" t="str">
        <f t="shared" si="1"/>
        <v>Yes</v>
      </c>
    </row>
    <row r="130" spans="1:10" ht="16" hidden="1" customHeight="1" x14ac:dyDescent="0.2">
      <c r="A130" s="43">
        <v>46277</v>
      </c>
      <c r="B130" s="13" t="s">
        <v>134</v>
      </c>
      <c r="C130" s="13" t="s">
        <v>139</v>
      </c>
      <c r="D130" s="93">
        <v>6</v>
      </c>
      <c r="E130" s="93">
        <v>10</v>
      </c>
      <c r="F130" s="93" t="s">
        <v>241</v>
      </c>
      <c r="G130" s="96">
        <v>30</v>
      </c>
      <c r="H130" s="97">
        <v>0.5</v>
      </c>
      <c r="I130" s="93">
        <v>30</v>
      </c>
      <c r="J130" t="str">
        <f t="shared" ref="J130:J193" si="2">IF(I130&gt;=G130,"Yes","No")</f>
        <v>Yes</v>
      </c>
    </row>
    <row r="131" spans="1:10" ht="16" hidden="1" customHeight="1" x14ac:dyDescent="0.2">
      <c r="A131" s="43">
        <v>46277</v>
      </c>
      <c r="B131" s="13" t="s">
        <v>142</v>
      </c>
      <c r="C131" s="13" t="s">
        <v>140</v>
      </c>
      <c r="D131" s="93">
        <v>7</v>
      </c>
      <c r="E131" s="93">
        <v>10</v>
      </c>
      <c r="F131" s="93" t="s">
        <v>242</v>
      </c>
      <c r="G131" s="96">
        <v>29</v>
      </c>
      <c r="H131" s="97">
        <v>0.5</v>
      </c>
      <c r="I131" s="93">
        <v>35.770000000000003</v>
      </c>
      <c r="J131" t="str">
        <f t="shared" si="2"/>
        <v>Yes</v>
      </c>
    </row>
    <row r="132" spans="1:10" ht="16" hidden="1" customHeight="1" x14ac:dyDescent="0.2">
      <c r="A132" s="43">
        <v>46277</v>
      </c>
      <c r="B132" s="13" t="s">
        <v>142</v>
      </c>
      <c r="C132" s="13" t="s">
        <v>140</v>
      </c>
      <c r="D132" s="93">
        <v>7</v>
      </c>
      <c r="E132" s="93">
        <v>11</v>
      </c>
      <c r="F132" s="93" t="s">
        <v>243</v>
      </c>
      <c r="G132" s="96">
        <v>15</v>
      </c>
      <c r="H132" s="97">
        <v>0.5</v>
      </c>
      <c r="I132" s="93">
        <v>19.010000000000002</v>
      </c>
      <c r="J132" t="str">
        <f t="shared" si="2"/>
        <v>Yes</v>
      </c>
    </row>
    <row r="133" spans="1:10" ht="16" hidden="1" customHeight="1" x14ac:dyDescent="0.2">
      <c r="A133" s="43">
        <v>46277</v>
      </c>
      <c r="B133" s="13" t="s">
        <v>142</v>
      </c>
      <c r="C133" s="13" t="s">
        <v>140</v>
      </c>
      <c r="D133" s="93">
        <v>7</v>
      </c>
      <c r="E133" s="93">
        <v>14</v>
      </c>
      <c r="F133" s="93" t="s">
        <v>244</v>
      </c>
      <c r="G133" s="96">
        <v>14.5</v>
      </c>
      <c r="H133" s="97">
        <v>0.5</v>
      </c>
      <c r="I133" s="93">
        <v>16.29</v>
      </c>
      <c r="J133" t="str">
        <f t="shared" si="2"/>
        <v>Yes</v>
      </c>
    </row>
    <row r="134" spans="1:10" ht="16" hidden="1" customHeight="1" x14ac:dyDescent="0.2">
      <c r="A134" s="43">
        <v>46277</v>
      </c>
      <c r="B134" s="13" t="s">
        <v>142</v>
      </c>
      <c r="C134" s="13" t="s">
        <v>140</v>
      </c>
      <c r="D134" s="93">
        <v>7</v>
      </c>
      <c r="E134" s="93">
        <v>16</v>
      </c>
      <c r="F134" s="93" t="s">
        <v>245</v>
      </c>
      <c r="G134" s="96">
        <v>30</v>
      </c>
      <c r="H134" s="97">
        <v>0.5</v>
      </c>
      <c r="I134" s="93">
        <v>33.86</v>
      </c>
      <c r="J134" t="str">
        <f t="shared" si="2"/>
        <v>Yes</v>
      </c>
    </row>
    <row r="135" spans="1:10" ht="16" hidden="1" customHeight="1" x14ac:dyDescent="0.2">
      <c r="A135" s="43">
        <v>46277</v>
      </c>
      <c r="B135" s="13" t="s">
        <v>142</v>
      </c>
      <c r="C135" s="13" t="s">
        <v>140</v>
      </c>
      <c r="D135" s="93">
        <v>7</v>
      </c>
      <c r="E135" s="93">
        <v>18</v>
      </c>
      <c r="F135" s="93" t="s">
        <v>246</v>
      </c>
      <c r="G135" s="96">
        <v>12</v>
      </c>
      <c r="H135" s="97">
        <v>0.5</v>
      </c>
      <c r="I135" s="93">
        <v>6.63</v>
      </c>
      <c r="J135" t="str">
        <f t="shared" si="2"/>
        <v>No</v>
      </c>
    </row>
    <row r="136" spans="1:10" ht="16" hidden="1" customHeight="1" x14ac:dyDescent="0.2">
      <c r="A136" s="43">
        <v>46277</v>
      </c>
      <c r="B136" s="13" t="s">
        <v>134</v>
      </c>
      <c r="C136" s="13" t="s">
        <v>139</v>
      </c>
      <c r="D136" s="93">
        <v>7</v>
      </c>
      <c r="E136" s="93">
        <v>3</v>
      </c>
      <c r="F136" s="93" t="s">
        <v>247</v>
      </c>
      <c r="G136" s="96">
        <v>6.2</v>
      </c>
      <c r="H136" s="97">
        <v>0.5</v>
      </c>
      <c r="I136" s="93">
        <v>10.5</v>
      </c>
      <c r="J136" t="str">
        <f t="shared" si="2"/>
        <v>Yes</v>
      </c>
    </row>
    <row r="137" spans="1:10" ht="16" hidden="1" customHeight="1" x14ac:dyDescent="0.2">
      <c r="A137" s="43">
        <v>46277</v>
      </c>
      <c r="B137" s="13" t="s">
        <v>134</v>
      </c>
      <c r="C137" s="13" t="s">
        <v>139</v>
      </c>
      <c r="D137" s="93">
        <v>7</v>
      </c>
      <c r="E137" s="93">
        <v>4</v>
      </c>
      <c r="F137" s="93" t="s">
        <v>248</v>
      </c>
      <c r="G137" s="96">
        <v>17</v>
      </c>
      <c r="H137" s="97">
        <v>0.5</v>
      </c>
      <c r="I137" s="93">
        <v>26</v>
      </c>
      <c r="J137" t="str">
        <f t="shared" si="2"/>
        <v>Yes</v>
      </c>
    </row>
    <row r="138" spans="1:10" ht="16" hidden="1" customHeight="1" x14ac:dyDescent="0.2">
      <c r="A138" s="43">
        <v>46277</v>
      </c>
      <c r="B138" s="13" t="s">
        <v>134</v>
      </c>
      <c r="C138" s="13" t="s">
        <v>139</v>
      </c>
      <c r="D138" s="93">
        <v>7</v>
      </c>
      <c r="E138" s="93">
        <v>5</v>
      </c>
      <c r="F138" s="93" t="s">
        <v>249</v>
      </c>
      <c r="G138" s="96">
        <v>7.8</v>
      </c>
      <c r="H138" s="97">
        <v>0.5</v>
      </c>
      <c r="I138" s="93">
        <v>7</v>
      </c>
      <c r="J138" t="str">
        <f t="shared" si="2"/>
        <v>No</v>
      </c>
    </row>
    <row r="139" spans="1:10" ht="16" hidden="1" customHeight="1" x14ac:dyDescent="0.2">
      <c r="A139" s="43">
        <v>46277</v>
      </c>
      <c r="B139" s="13" t="s">
        <v>142</v>
      </c>
      <c r="C139" s="13" t="s">
        <v>140</v>
      </c>
      <c r="D139" s="93">
        <v>8</v>
      </c>
      <c r="E139" s="93">
        <v>4</v>
      </c>
      <c r="F139" s="93" t="s">
        <v>250</v>
      </c>
      <c r="G139" s="96">
        <v>18.5</v>
      </c>
      <c r="H139" s="97">
        <v>0.5</v>
      </c>
      <c r="I139" s="93">
        <v>15.52</v>
      </c>
      <c r="J139" t="str">
        <f t="shared" si="2"/>
        <v>No</v>
      </c>
    </row>
    <row r="140" spans="1:10" ht="16" hidden="1" customHeight="1" x14ac:dyDescent="0.2">
      <c r="A140" s="43">
        <v>46277</v>
      </c>
      <c r="B140" s="13" t="s">
        <v>142</v>
      </c>
      <c r="C140" s="13" t="s">
        <v>140</v>
      </c>
      <c r="D140" s="93">
        <v>8</v>
      </c>
      <c r="E140" s="93">
        <v>6</v>
      </c>
      <c r="F140" s="93" t="s">
        <v>251</v>
      </c>
      <c r="G140" s="96">
        <v>16</v>
      </c>
      <c r="H140" s="97">
        <v>0.5</v>
      </c>
      <c r="I140" s="93">
        <v>28.13</v>
      </c>
      <c r="J140" t="str">
        <f t="shared" si="2"/>
        <v>Yes</v>
      </c>
    </row>
    <row r="141" spans="1:10" ht="16" hidden="1" customHeight="1" x14ac:dyDescent="0.2">
      <c r="A141" s="43">
        <v>46277</v>
      </c>
      <c r="B141" s="13" t="s">
        <v>142</v>
      </c>
      <c r="C141" s="13" t="s">
        <v>140</v>
      </c>
      <c r="D141" s="93">
        <v>8</v>
      </c>
      <c r="E141" s="93">
        <v>7</v>
      </c>
      <c r="F141" s="93" t="s">
        <v>252</v>
      </c>
      <c r="G141" s="96">
        <v>8.6</v>
      </c>
      <c r="H141" s="97">
        <v>0.5</v>
      </c>
      <c r="I141" s="93">
        <v>7.38</v>
      </c>
      <c r="J141" t="str">
        <f t="shared" si="2"/>
        <v>No</v>
      </c>
    </row>
    <row r="142" spans="1:10" ht="16" hidden="1" customHeight="1" x14ac:dyDescent="0.2">
      <c r="A142" s="43">
        <v>46277</v>
      </c>
      <c r="B142" s="13" t="s">
        <v>142</v>
      </c>
      <c r="C142" s="13" t="s">
        <v>140</v>
      </c>
      <c r="D142" s="93">
        <v>8</v>
      </c>
      <c r="E142" s="93">
        <v>9</v>
      </c>
      <c r="F142" s="93" t="s">
        <v>253</v>
      </c>
      <c r="G142" s="96">
        <v>16.5</v>
      </c>
      <c r="H142" s="97">
        <v>0.5</v>
      </c>
      <c r="I142" s="93">
        <v>23.09</v>
      </c>
      <c r="J142" t="str">
        <f t="shared" si="2"/>
        <v>Yes</v>
      </c>
    </row>
    <row r="143" spans="1:10" ht="16" hidden="1" customHeight="1" x14ac:dyDescent="0.2">
      <c r="A143" s="43">
        <v>46277</v>
      </c>
      <c r="B143" s="13" t="s">
        <v>134</v>
      </c>
      <c r="C143" s="13" t="s">
        <v>139</v>
      </c>
      <c r="D143" s="93">
        <v>8</v>
      </c>
      <c r="E143" s="93">
        <v>1</v>
      </c>
      <c r="F143" s="93" t="s">
        <v>254</v>
      </c>
      <c r="G143" s="96">
        <v>36</v>
      </c>
      <c r="H143" s="97">
        <v>0.5</v>
      </c>
      <c r="I143" s="93">
        <v>47.6</v>
      </c>
      <c r="J143" t="str">
        <f t="shared" si="2"/>
        <v>Yes</v>
      </c>
    </row>
    <row r="144" spans="1:10" ht="16" hidden="1" customHeight="1" x14ac:dyDescent="0.2">
      <c r="A144" s="43">
        <v>46277</v>
      </c>
      <c r="B144" s="13" t="s">
        <v>134</v>
      </c>
      <c r="C144" s="13" t="s">
        <v>139</v>
      </c>
      <c r="D144" s="93">
        <v>8</v>
      </c>
      <c r="E144" s="93">
        <v>2</v>
      </c>
      <c r="F144" s="93" t="s">
        <v>255</v>
      </c>
      <c r="G144" s="96">
        <v>25</v>
      </c>
      <c r="H144" s="97">
        <v>0.5</v>
      </c>
      <c r="I144" s="93">
        <v>40</v>
      </c>
      <c r="J144" t="str">
        <f t="shared" si="2"/>
        <v>Yes</v>
      </c>
    </row>
    <row r="145" spans="1:10" ht="16" hidden="1" customHeight="1" x14ac:dyDescent="0.2">
      <c r="A145" s="43">
        <v>46277</v>
      </c>
      <c r="B145" s="13" t="s">
        <v>134</v>
      </c>
      <c r="C145" s="13" t="s">
        <v>139</v>
      </c>
      <c r="D145" s="93">
        <v>8</v>
      </c>
      <c r="E145" s="93">
        <v>11</v>
      </c>
      <c r="F145" s="93" t="s">
        <v>256</v>
      </c>
      <c r="G145" s="96">
        <v>7.4</v>
      </c>
      <c r="H145" s="97">
        <v>0.5</v>
      </c>
      <c r="I145" s="93">
        <v>5.49</v>
      </c>
      <c r="J145" t="str">
        <f t="shared" si="2"/>
        <v>No</v>
      </c>
    </row>
    <row r="146" spans="1:10" ht="16" hidden="1" customHeight="1" x14ac:dyDescent="0.2">
      <c r="A146" s="43">
        <v>46277</v>
      </c>
      <c r="B146" s="13" t="s">
        <v>134</v>
      </c>
      <c r="C146" s="13" t="s">
        <v>139</v>
      </c>
      <c r="D146" s="93">
        <v>8</v>
      </c>
      <c r="E146" s="93">
        <v>13</v>
      </c>
      <c r="F146" s="93" t="s">
        <v>257</v>
      </c>
      <c r="G146" s="96">
        <v>13</v>
      </c>
      <c r="H146" s="97">
        <v>0.5</v>
      </c>
      <c r="I146" s="93">
        <v>19.78</v>
      </c>
      <c r="J146" t="str">
        <f t="shared" si="2"/>
        <v>Yes</v>
      </c>
    </row>
    <row r="147" spans="1:10" ht="16" hidden="1" customHeight="1" x14ac:dyDescent="0.2">
      <c r="A147" s="43">
        <v>46277</v>
      </c>
      <c r="B147" s="13" t="s">
        <v>134</v>
      </c>
      <c r="C147" s="13" t="s">
        <v>139</v>
      </c>
      <c r="D147" s="93">
        <v>9</v>
      </c>
      <c r="E147" s="93">
        <v>5</v>
      </c>
      <c r="F147" s="93" t="s">
        <v>258</v>
      </c>
      <c r="G147" s="96">
        <v>9.4</v>
      </c>
      <c r="H147" s="97">
        <v>0.5</v>
      </c>
      <c r="I147" s="93">
        <v>8.81</v>
      </c>
      <c r="J147" t="str">
        <f t="shared" si="2"/>
        <v>No</v>
      </c>
    </row>
    <row r="148" spans="1:10" ht="16" hidden="1" customHeight="1" x14ac:dyDescent="0.2">
      <c r="A148" s="43">
        <v>46277</v>
      </c>
      <c r="B148" s="13" t="s">
        <v>134</v>
      </c>
      <c r="C148" s="13" t="s">
        <v>139</v>
      </c>
      <c r="D148" s="93">
        <v>9</v>
      </c>
      <c r="E148" s="93">
        <v>8</v>
      </c>
      <c r="F148" s="93" t="s">
        <v>259</v>
      </c>
      <c r="G148" s="96">
        <v>29</v>
      </c>
      <c r="H148" s="97">
        <v>0.5</v>
      </c>
      <c r="I148" s="93">
        <v>39.26</v>
      </c>
      <c r="J148" t="str">
        <f t="shared" si="2"/>
        <v>Yes</v>
      </c>
    </row>
    <row r="149" spans="1:10" ht="16" hidden="1" customHeight="1" x14ac:dyDescent="0.2">
      <c r="A149" s="43">
        <v>46277</v>
      </c>
      <c r="B149" s="13" t="s">
        <v>134</v>
      </c>
      <c r="C149" s="13" t="s">
        <v>139</v>
      </c>
      <c r="D149" s="93">
        <v>9</v>
      </c>
      <c r="E149" s="93">
        <v>11</v>
      </c>
      <c r="F149" s="93" t="s">
        <v>260</v>
      </c>
      <c r="G149" s="96">
        <v>23</v>
      </c>
      <c r="H149" s="97">
        <v>0.5</v>
      </c>
      <c r="I149" s="93">
        <v>23</v>
      </c>
      <c r="J149" t="str">
        <f t="shared" si="2"/>
        <v>Yes</v>
      </c>
    </row>
    <row r="150" spans="1:10" ht="16" hidden="1" customHeight="1" x14ac:dyDescent="0.2">
      <c r="A150" s="43">
        <v>46277</v>
      </c>
      <c r="B150" s="13" t="s">
        <v>134</v>
      </c>
      <c r="C150" s="13" t="s">
        <v>139</v>
      </c>
      <c r="D150" s="93">
        <v>9</v>
      </c>
      <c r="E150" s="93">
        <v>12</v>
      </c>
      <c r="F150" s="93" t="s">
        <v>261</v>
      </c>
      <c r="G150" s="96">
        <v>23</v>
      </c>
      <c r="H150" s="97">
        <v>0.5</v>
      </c>
      <c r="I150" s="93">
        <v>61.54</v>
      </c>
      <c r="J150" t="str">
        <f t="shared" si="2"/>
        <v>Yes</v>
      </c>
    </row>
    <row r="151" spans="1:10" ht="16" hidden="1" customHeight="1" x14ac:dyDescent="0.2">
      <c r="A151" s="43">
        <v>46277</v>
      </c>
      <c r="B151" s="13" t="s">
        <v>142</v>
      </c>
      <c r="C151" s="13" t="s">
        <v>140</v>
      </c>
      <c r="D151" s="93">
        <v>10</v>
      </c>
      <c r="E151" s="93">
        <v>3</v>
      </c>
      <c r="F151" s="93" t="s">
        <v>262</v>
      </c>
      <c r="G151" s="96">
        <v>17.5</v>
      </c>
      <c r="H151" s="97">
        <v>0.5</v>
      </c>
      <c r="I151" s="93">
        <v>6.8</v>
      </c>
      <c r="J151" t="str">
        <f t="shared" si="2"/>
        <v>No</v>
      </c>
    </row>
    <row r="152" spans="1:10" ht="16" hidden="1" customHeight="1" x14ac:dyDescent="0.2">
      <c r="A152" s="43">
        <v>46277</v>
      </c>
      <c r="B152" s="13" t="s">
        <v>142</v>
      </c>
      <c r="C152" s="13" t="s">
        <v>140</v>
      </c>
      <c r="D152" s="93">
        <v>10</v>
      </c>
      <c r="E152" s="93">
        <v>7</v>
      </c>
      <c r="F152" s="93" t="s">
        <v>263</v>
      </c>
      <c r="G152" s="96">
        <v>26</v>
      </c>
      <c r="H152" s="97">
        <v>0.5</v>
      </c>
      <c r="I152" s="93">
        <v>28.29</v>
      </c>
      <c r="J152" t="str">
        <f t="shared" si="2"/>
        <v>Yes</v>
      </c>
    </row>
    <row r="153" spans="1:10" ht="16" hidden="1" customHeight="1" x14ac:dyDescent="0.2">
      <c r="A153" s="43">
        <v>46277</v>
      </c>
      <c r="B153" s="13" t="s">
        <v>142</v>
      </c>
      <c r="C153" s="13" t="s">
        <v>140</v>
      </c>
      <c r="D153" s="93">
        <v>10</v>
      </c>
      <c r="E153" s="93">
        <v>8</v>
      </c>
      <c r="F153" s="93" t="s">
        <v>264</v>
      </c>
      <c r="G153" s="96">
        <v>8.8000000000000007</v>
      </c>
      <c r="H153" s="97">
        <v>0.5</v>
      </c>
      <c r="I153" s="93">
        <v>15.8</v>
      </c>
      <c r="J153" t="str">
        <f t="shared" si="2"/>
        <v>Yes</v>
      </c>
    </row>
    <row r="154" spans="1:10" ht="16" hidden="1" customHeight="1" x14ac:dyDescent="0.2">
      <c r="A154" s="43">
        <v>46277</v>
      </c>
      <c r="B154" s="13" t="s">
        <v>134</v>
      </c>
      <c r="C154" s="13" t="s">
        <v>139</v>
      </c>
      <c r="D154" s="93">
        <v>10</v>
      </c>
      <c r="E154" s="93">
        <v>3</v>
      </c>
      <c r="F154" s="93" t="s">
        <v>265</v>
      </c>
      <c r="G154" s="96">
        <v>19.5</v>
      </c>
      <c r="H154" s="97">
        <v>0.5</v>
      </c>
      <c r="I154" s="93">
        <v>13</v>
      </c>
      <c r="J154" t="str">
        <f t="shared" si="2"/>
        <v>No</v>
      </c>
    </row>
    <row r="155" spans="1:10" ht="16" hidden="1" customHeight="1" x14ac:dyDescent="0.2">
      <c r="A155" s="43">
        <v>46277</v>
      </c>
      <c r="B155" s="13" t="s">
        <v>134</v>
      </c>
      <c r="C155" s="13" t="s">
        <v>139</v>
      </c>
      <c r="D155" s="93">
        <v>10</v>
      </c>
      <c r="E155" s="93">
        <v>7</v>
      </c>
      <c r="F155" s="93" t="s">
        <v>266</v>
      </c>
      <c r="G155" s="96">
        <v>34</v>
      </c>
      <c r="H155" s="97">
        <v>0.5</v>
      </c>
      <c r="I155" s="93">
        <v>34</v>
      </c>
      <c r="J155" t="str">
        <f t="shared" si="2"/>
        <v>Yes</v>
      </c>
    </row>
    <row r="156" spans="1:10" ht="16" hidden="1" customHeight="1" x14ac:dyDescent="0.2">
      <c r="A156" s="43">
        <v>46277</v>
      </c>
      <c r="B156" s="13" t="s">
        <v>134</v>
      </c>
      <c r="C156" s="13" t="s">
        <v>139</v>
      </c>
      <c r="D156" s="93">
        <v>10</v>
      </c>
      <c r="E156" s="93">
        <v>8</v>
      </c>
      <c r="F156" s="93" t="s">
        <v>267</v>
      </c>
      <c r="G156" s="96">
        <v>10.5</v>
      </c>
      <c r="H156" s="97">
        <v>0.5</v>
      </c>
      <c r="I156" s="93">
        <v>9.73</v>
      </c>
      <c r="J156" t="str">
        <f t="shared" si="2"/>
        <v>No</v>
      </c>
    </row>
    <row r="157" spans="1:10" ht="16" hidden="1" customHeight="1" x14ac:dyDescent="0.2">
      <c r="A157" s="43">
        <v>46277</v>
      </c>
      <c r="B157" s="13" t="s">
        <v>134</v>
      </c>
      <c r="C157" s="13" t="s">
        <v>139</v>
      </c>
      <c r="D157" s="93">
        <v>10</v>
      </c>
      <c r="E157" s="93">
        <v>9</v>
      </c>
      <c r="F157" s="93" t="s">
        <v>268</v>
      </c>
      <c r="G157" s="96">
        <v>12</v>
      </c>
      <c r="H157" s="97">
        <v>0.5</v>
      </c>
      <c r="I157" s="93">
        <v>26.3</v>
      </c>
      <c r="J157" t="str">
        <f t="shared" si="2"/>
        <v>Yes</v>
      </c>
    </row>
    <row r="158" spans="1:10" ht="16" hidden="1" customHeight="1" x14ac:dyDescent="0.2">
      <c r="A158" s="43">
        <v>46281</v>
      </c>
      <c r="B158" s="13" t="s">
        <v>142</v>
      </c>
      <c r="C158" s="13" t="s">
        <v>140</v>
      </c>
      <c r="D158" s="93">
        <v>1</v>
      </c>
      <c r="E158" s="93">
        <v>4</v>
      </c>
      <c r="F158" s="93" t="s">
        <v>269</v>
      </c>
      <c r="G158" s="96">
        <v>16</v>
      </c>
      <c r="H158" s="97">
        <v>0.5</v>
      </c>
      <c r="I158" s="93">
        <v>15</v>
      </c>
      <c r="J158" t="str">
        <f t="shared" si="2"/>
        <v>No</v>
      </c>
    </row>
    <row r="159" spans="1:10" ht="16" hidden="1" customHeight="1" x14ac:dyDescent="0.2">
      <c r="A159" s="43">
        <v>46281</v>
      </c>
      <c r="B159" s="13" t="s">
        <v>142</v>
      </c>
      <c r="C159" s="13" t="s">
        <v>140</v>
      </c>
      <c r="D159" s="93">
        <v>1</v>
      </c>
      <c r="E159" s="93">
        <v>5</v>
      </c>
      <c r="F159" s="93" t="s">
        <v>270</v>
      </c>
      <c r="G159" s="96">
        <v>8.1999999999999993</v>
      </c>
      <c r="H159" s="97">
        <v>0.5</v>
      </c>
      <c r="I159" s="93">
        <v>7.91</v>
      </c>
      <c r="J159" t="str">
        <f t="shared" si="2"/>
        <v>No</v>
      </c>
    </row>
    <row r="160" spans="1:10" ht="16" hidden="1" customHeight="1" x14ac:dyDescent="0.2">
      <c r="A160" s="43">
        <v>46281</v>
      </c>
      <c r="B160" s="13" t="s">
        <v>142</v>
      </c>
      <c r="C160" s="13" t="s">
        <v>140</v>
      </c>
      <c r="D160" s="93">
        <v>2</v>
      </c>
      <c r="E160" s="93">
        <v>7</v>
      </c>
      <c r="F160" s="93" t="s">
        <v>271</v>
      </c>
      <c r="G160" s="96">
        <v>11.5</v>
      </c>
      <c r="H160" s="97">
        <v>0.5</v>
      </c>
      <c r="I160" s="93">
        <v>12.25</v>
      </c>
      <c r="J160" t="str">
        <f t="shared" si="2"/>
        <v>Yes</v>
      </c>
    </row>
    <row r="161" spans="1:10" ht="16" hidden="1" customHeight="1" x14ac:dyDescent="0.2">
      <c r="A161" s="43">
        <v>46281</v>
      </c>
      <c r="B161" s="13" t="s">
        <v>134</v>
      </c>
      <c r="C161" s="13" t="s">
        <v>137</v>
      </c>
      <c r="D161" s="93">
        <v>3</v>
      </c>
      <c r="E161" s="93">
        <v>5</v>
      </c>
      <c r="F161" s="93" t="s">
        <v>272</v>
      </c>
      <c r="G161" s="96">
        <v>27</v>
      </c>
      <c r="H161" s="97">
        <v>0.5</v>
      </c>
      <c r="I161" s="93">
        <v>46.31</v>
      </c>
      <c r="J161" t="str">
        <f t="shared" si="2"/>
        <v>Yes</v>
      </c>
    </row>
    <row r="162" spans="1:10" ht="16" hidden="1" customHeight="1" x14ac:dyDescent="0.2">
      <c r="A162" s="43">
        <v>46281</v>
      </c>
      <c r="B162" s="13" t="s">
        <v>142</v>
      </c>
      <c r="C162" s="13" t="s">
        <v>140</v>
      </c>
      <c r="D162" s="93">
        <v>4</v>
      </c>
      <c r="E162" s="93">
        <v>1</v>
      </c>
      <c r="F162" s="93" t="s">
        <v>273</v>
      </c>
      <c r="G162" s="96">
        <v>15.5</v>
      </c>
      <c r="H162" s="97">
        <v>0.5</v>
      </c>
      <c r="I162" s="93">
        <v>24</v>
      </c>
      <c r="J162" t="str">
        <f t="shared" si="2"/>
        <v>Yes</v>
      </c>
    </row>
    <row r="163" spans="1:10" ht="16" hidden="1" customHeight="1" x14ac:dyDescent="0.2">
      <c r="A163" s="43">
        <v>46281</v>
      </c>
      <c r="B163" s="13" t="s">
        <v>142</v>
      </c>
      <c r="C163" s="13" t="s">
        <v>140</v>
      </c>
      <c r="D163" s="93">
        <v>4</v>
      </c>
      <c r="E163" s="93">
        <v>5</v>
      </c>
      <c r="F163" s="93" t="s">
        <v>274</v>
      </c>
      <c r="G163" s="96">
        <v>9.1999999999999993</v>
      </c>
      <c r="H163" s="97">
        <v>0.5</v>
      </c>
      <c r="I163" s="93">
        <v>11</v>
      </c>
      <c r="J163" t="str">
        <f t="shared" si="2"/>
        <v>Yes</v>
      </c>
    </row>
    <row r="164" spans="1:10" ht="16" hidden="1" customHeight="1" x14ac:dyDescent="0.2">
      <c r="A164" s="43">
        <v>46281</v>
      </c>
      <c r="B164" s="13" t="s">
        <v>142</v>
      </c>
      <c r="C164" s="13" t="s">
        <v>140</v>
      </c>
      <c r="D164" s="93">
        <v>4</v>
      </c>
      <c r="E164" s="93">
        <v>11</v>
      </c>
      <c r="F164" s="93" t="s">
        <v>275</v>
      </c>
      <c r="G164" s="96">
        <v>18.5</v>
      </c>
      <c r="H164" s="97">
        <v>0.5</v>
      </c>
      <c r="I164" s="93">
        <v>20</v>
      </c>
      <c r="J164" t="str">
        <f t="shared" si="2"/>
        <v>Yes</v>
      </c>
    </row>
    <row r="165" spans="1:10" ht="16" hidden="1" customHeight="1" x14ac:dyDescent="0.2">
      <c r="A165" s="43">
        <v>46281</v>
      </c>
      <c r="B165" s="13" t="s">
        <v>134</v>
      </c>
      <c r="C165" s="13" t="s">
        <v>137</v>
      </c>
      <c r="D165" s="93">
        <v>4</v>
      </c>
      <c r="E165" s="93">
        <v>5</v>
      </c>
      <c r="F165" s="93" t="s">
        <v>276</v>
      </c>
      <c r="G165" s="96">
        <v>11</v>
      </c>
      <c r="H165" s="97">
        <v>0.5</v>
      </c>
      <c r="I165" s="93">
        <v>5.41</v>
      </c>
      <c r="J165" t="str">
        <f t="shared" si="2"/>
        <v>No</v>
      </c>
    </row>
    <row r="166" spans="1:10" ht="16" hidden="1" customHeight="1" x14ac:dyDescent="0.2">
      <c r="A166" s="43">
        <v>46281</v>
      </c>
      <c r="B166" s="13" t="s">
        <v>134</v>
      </c>
      <c r="C166" s="13" t="s">
        <v>137</v>
      </c>
      <c r="D166" s="93">
        <v>4</v>
      </c>
      <c r="E166" s="93">
        <v>12</v>
      </c>
      <c r="F166" s="93" t="s">
        <v>277</v>
      </c>
      <c r="G166" s="96">
        <v>14.5</v>
      </c>
      <c r="H166" s="97">
        <v>0.5</v>
      </c>
      <c r="I166" s="93">
        <v>14.5</v>
      </c>
      <c r="J166" t="str">
        <f t="shared" si="2"/>
        <v>Yes</v>
      </c>
    </row>
    <row r="167" spans="1:10" ht="16" hidden="1" customHeight="1" x14ac:dyDescent="0.2">
      <c r="A167" s="43">
        <v>46281</v>
      </c>
      <c r="B167" s="13" t="s">
        <v>142</v>
      </c>
      <c r="C167" s="13" t="s">
        <v>140</v>
      </c>
      <c r="D167" s="93">
        <v>5</v>
      </c>
      <c r="E167" s="93">
        <v>2</v>
      </c>
      <c r="F167" s="93" t="s">
        <v>278</v>
      </c>
      <c r="G167" s="96">
        <v>8.1999999999999993</v>
      </c>
      <c r="H167" s="97">
        <v>0.5</v>
      </c>
      <c r="I167" s="93">
        <v>9.4</v>
      </c>
      <c r="J167" t="str">
        <f t="shared" si="2"/>
        <v>Yes</v>
      </c>
    </row>
    <row r="168" spans="1:10" ht="16" hidden="1" customHeight="1" x14ac:dyDescent="0.2">
      <c r="A168" s="43">
        <v>46281</v>
      </c>
      <c r="B168" s="13" t="s">
        <v>142</v>
      </c>
      <c r="C168" s="13" t="s">
        <v>140</v>
      </c>
      <c r="D168" s="93">
        <v>5</v>
      </c>
      <c r="E168" s="93">
        <v>3</v>
      </c>
      <c r="F168" s="93" t="s">
        <v>279</v>
      </c>
      <c r="G168" s="96">
        <v>12.5</v>
      </c>
      <c r="H168" s="97">
        <v>0.5</v>
      </c>
      <c r="I168" s="93">
        <v>14.54</v>
      </c>
      <c r="J168" t="str">
        <f t="shared" si="2"/>
        <v>Yes</v>
      </c>
    </row>
    <row r="169" spans="1:10" ht="16" hidden="1" customHeight="1" x14ac:dyDescent="0.2">
      <c r="A169" s="43">
        <v>46281</v>
      </c>
      <c r="B169" s="13" t="s">
        <v>142</v>
      </c>
      <c r="C169" s="13" t="s">
        <v>140</v>
      </c>
      <c r="D169" s="93">
        <v>5</v>
      </c>
      <c r="E169" s="93">
        <v>8</v>
      </c>
      <c r="F169" s="93" t="s">
        <v>280</v>
      </c>
      <c r="G169" s="96">
        <v>11</v>
      </c>
      <c r="H169" s="97">
        <v>0.5</v>
      </c>
      <c r="I169" s="93">
        <v>21</v>
      </c>
      <c r="J169" t="str">
        <f t="shared" si="2"/>
        <v>Yes</v>
      </c>
    </row>
    <row r="170" spans="1:10" ht="16" hidden="1" customHeight="1" x14ac:dyDescent="0.2">
      <c r="A170" s="43">
        <v>46281</v>
      </c>
      <c r="B170" s="13" t="s">
        <v>134</v>
      </c>
      <c r="C170" s="13" t="s">
        <v>137</v>
      </c>
      <c r="D170" s="93">
        <v>6</v>
      </c>
      <c r="E170" s="93">
        <v>2</v>
      </c>
      <c r="F170" s="93" t="s">
        <v>281</v>
      </c>
      <c r="G170" s="96">
        <v>11.5</v>
      </c>
      <c r="H170" s="97">
        <v>0.5</v>
      </c>
      <c r="I170" s="93">
        <v>10.67</v>
      </c>
      <c r="J170" t="str">
        <f t="shared" si="2"/>
        <v>No</v>
      </c>
    </row>
    <row r="171" spans="1:10" ht="16" hidden="1" customHeight="1" x14ac:dyDescent="0.2">
      <c r="A171" s="43">
        <v>46281</v>
      </c>
      <c r="B171" s="13" t="s">
        <v>134</v>
      </c>
      <c r="C171" s="13" t="s">
        <v>137</v>
      </c>
      <c r="D171" s="93">
        <v>6</v>
      </c>
      <c r="E171" s="93">
        <v>9</v>
      </c>
      <c r="F171" s="93" t="s">
        <v>282</v>
      </c>
      <c r="G171" s="96">
        <v>12</v>
      </c>
      <c r="H171" s="97">
        <v>0.5</v>
      </c>
      <c r="I171" s="93">
        <v>18</v>
      </c>
      <c r="J171" t="str">
        <f t="shared" si="2"/>
        <v>Yes</v>
      </c>
    </row>
    <row r="172" spans="1:10" ht="16" hidden="1" customHeight="1" x14ac:dyDescent="0.2">
      <c r="A172" s="43">
        <v>46281</v>
      </c>
      <c r="B172" s="13" t="s">
        <v>134</v>
      </c>
      <c r="C172" s="13" t="s">
        <v>137</v>
      </c>
      <c r="D172" s="93">
        <v>6</v>
      </c>
      <c r="E172" s="93">
        <v>12</v>
      </c>
      <c r="F172" s="93" t="s">
        <v>283</v>
      </c>
      <c r="G172" s="96">
        <v>9.8000000000000007</v>
      </c>
      <c r="H172" s="97">
        <v>0.5</v>
      </c>
      <c r="I172" s="93">
        <v>20.02</v>
      </c>
      <c r="J172" t="str">
        <f t="shared" si="2"/>
        <v>Yes</v>
      </c>
    </row>
    <row r="173" spans="1:10" ht="16" hidden="1" customHeight="1" x14ac:dyDescent="0.2">
      <c r="A173" s="43">
        <v>46281</v>
      </c>
      <c r="B173" s="13" t="s">
        <v>134</v>
      </c>
      <c r="C173" s="13" t="s">
        <v>137</v>
      </c>
      <c r="D173" s="93">
        <v>6</v>
      </c>
      <c r="E173" s="93">
        <v>14</v>
      </c>
      <c r="F173" s="93" t="s">
        <v>284</v>
      </c>
      <c r="G173" s="96">
        <v>17</v>
      </c>
      <c r="H173" s="97">
        <v>0.5</v>
      </c>
      <c r="I173" s="93">
        <v>17</v>
      </c>
      <c r="J173" t="str">
        <f t="shared" si="2"/>
        <v>Yes</v>
      </c>
    </row>
    <row r="174" spans="1:10" ht="16" hidden="1" customHeight="1" x14ac:dyDescent="0.2">
      <c r="A174" s="43">
        <v>46281</v>
      </c>
      <c r="B174" s="13" t="s">
        <v>142</v>
      </c>
      <c r="C174" s="13" t="s">
        <v>140</v>
      </c>
      <c r="D174" s="93">
        <v>7</v>
      </c>
      <c r="E174" s="93">
        <v>8</v>
      </c>
      <c r="F174" s="93" t="s">
        <v>285</v>
      </c>
      <c r="G174" s="96">
        <v>22</v>
      </c>
      <c r="H174" s="97">
        <v>0.5</v>
      </c>
      <c r="I174" s="93">
        <v>34</v>
      </c>
      <c r="J174" t="str">
        <f t="shared" si="2"/>
        <v>Yes</v>
      </c>
    </row>
    <row r="175" spans="1:10" ht="16" hidden="1" customHeight="1" x14ac:dyDescent="0.2">
      <c r="A175" s="43">
        <v>46281</v>
      </c>
      <c r="B175" s="13" t="s">
        <v>134</v>
      </c>
      <c r="C175" s="13" t="s">
        <v>137</v>
      </c>
      <c r="D175" s="93">
        <v>7</v>
      </c>
      <c r="E175" s="93">
        <v>11</v>
      </c>
      <c r="F175" s="93" t="s">
        <v>286</v>
      </c>
      <c r="G175" s="96">
        <v>19</v>
      </c>
      <c r="H175" s="97">
        <v>0.5</v>
      </c>
      <c r="I175" s="93">
        <v>4.47</v>
      </c>
      <c r="J175" t="str">
        <f t="shared" si="2"/>
        <v>No</v>
      </c>
    </row>
    <row r="176" spans="1:10" ht="16" hidden="1" customHeight="1" x14ac:dyDescent="0.2">
      <c r="A176" s="43">
        <v>46281</v>
      </c>
      <c r="B176" s="13" t="s">
        <v>134</v>
      </c>
      <c r="C176" s="13" t="s">
        <v>137</v>
      </c>
      <c r="D176" s="93">
        <v>7</v>
      </c>
      <c r="E176" s="93">
        <v>14</v>
      </c>
      <c r="F176" s="93" t="s">
        <v>287</v>
      </c>
      <c r="G176" s="96">
        <v>6.2</v>
      </c>
      <c r="H176" s="97">
        <v>0.5</v>
      </c>
      <c r="I176" s="93">
        <v>4.6100000000000003</v>
      </c>
      <c r="J176" t="str">
        <f t="shared" si="2"/>
        <v>No</v>
      </c>
    </row>
    <row r="177" spans="1:10" ht="16" hidden="1" customHeight="1" x14ac:dyDescent="0.2">
      <c r="A177" s="43">
        <v>46284</v>
      </c>
      <c r="B177" s="13" t="s">
        <v>134</v>
      </c>
      <c r="C177" s="13" t="s">
        <v>138</v>
      </c>
      <c r="D177" s="93">
        <v>1</v>
      </c>
      <c r="E177" s="93">
        <v>2</v>
      </c>
      <c r="F177" s="93" t="s">
        <v>288</v>
      </c>
      <c r="G177" s="96">
        <v>15</v>
      </c>
      <c r="H177" s="97">
        <v>0.5</v>
      </c>
      <c r="I177" s="93">
        <v>10.5</v>
      </c>
      <c r="J177" t="str">
        <f t="shared" si="2"/>
        <v>No</v>
      </c>
    </row>
    <row r="178" spans="1:10" ht="16" hidden="1" customHeight="1" x14ac:dyDescent="0.2">
      <c r="A178" s="43">
        <v>46284</v>
      </c>
      <c r="B178" s="13" t="s">
        <v>134</v>
      </c>
      <c r="C178" s="13" t="s">
        <v>138</v>
      </c>
      <c r="D178" s="93">
        <v>1</v>
      </c>
      <c r="E178" s="93">
        <v>3</v>
      </c>
      <c r="F178" s="93" t="s">
        <v>289</v>
      </c>
      <c r="G178" s="96">
        <v>9</v>
      </c>
      <c r="H178" s="97">
        <v>0.5</v>
      </c>
      <c r="I178" s="93">
        <v>12</v>
      </c>
      <c r="J178" t="str">
        <f t="shared" si="2"/>
        <v>Yes</v>
      </c>
    </row>
    <row r="179" spans="1:10" ht="16" hidden="1" customHeight="1" x14ac:dyDescent="0.2">
      <c r="A179" s="43">
        <v>46284</v>
      </c>
      <c r="B179" s="13" t="s">
        <v>134</v>
      </c>
      <c r="C179" s="13" t="s">
        <v>138</v>
      </c>
      <c r="D179" s="93">
        <v>1</v>
      </c>
      <c r="E179" s="93">
        <v>7</v>
      </c>
      <c r="F179" s="93" t="s">
        <v>290</v>
      </c>
      <c r="G179" s="96">
        <v>8.1999999999999993</v>
      </c>
      <c r="H179" s="97">
        <v>0.5</v>
      </c>
      <c r="I179" s="93">
        <v>8</v>
      </c>
      <c r="J179" t="str">
        <f t="shared" si="2"/>
        <v>No</v>
      </c>
    </row>
    <row r="180" spans="1:10" ht="16" hidden="1" customHeight="1" x14ac:dyDescent="0.2">
      <c r="A180" s="43">
        <v>46284</v>
      </c>
      <c r="B180" s="13" t="s">
        <v>134</v>
      </c>
      <c r="C180" s="13" t="s">
        <v>138</v>
      </c>
      <c r="D180" s="93">
        <v>1</v>
      </c>
      <c r="E180" s="93">
        <v>8</v>
      </c>
      <c r="F180" s="93" t="s">
        <v>152</v>
      </c>
      <c r="G180" s="96">
        <v>18.5</v>
      </c>
      <c r="H180" s="97">
        <v>0.5</v>
      </c>
      <c r="I180" s="93">
        <v>20.61</v>
      </c>
      <c r="J180" t="str">
        <f t="shared" si="2"/>
        <v>Yes</v>
      </c>
    </row>
    <row r="181" spans="1:10" ht="16" hidden="1" customHeight="1" x14ac:dyDescent="0.2">
      <c r="A181" s="43">
        <v>46284</v>
      </c>
      <c r="B181" s="13" t="s">
        <v>134</v>
      </c>
      <c r="C181" s="13" t="s">
        <v>138</v>
      </c>
      <c r="D181" s="93">
        <v>2</v>
      </c>
      <c r="E181" s="93">
        <v>6</v>
      </c>
      <c r="F181" s="93" t="s">
        <v>291</v>
      </c>
      <c r="G181" s="96">
        <v>10.5</v>
      </c>
      <c r="H181" s="97">
        <v>0.5</v>
      </c>
      <c r="I181" s="93">
        <v>10.35</v>
      </c>
      <c r="J181" t="str">
        <f t="shared" si="2"/>
        <v>No</v>
      </c>
    </row>
    <row r="182" spans="1:10" ht="16" hidden="1" customHeight="1" x14ac:dyDescent="0.2">
      <c r="A182" s="43">
        <v>46284</v>
      </c>
      <c r="B182" s="13" t="s">
        <v>134</v>
      </c>
      <c r="C182" s="13" t="s">
        <v>138</v>
      </c>
      <c r="D182" s="93">
        <v>2</v>
      </c>
      <c r="E182" s="93">
        <v>12</v>
      </c>
      <c r="F182" s="93" t="s">
        <v>292</v>
      </c>
      <c r="G182" s="96">
        <v>27</v>
      </c>
      <c r="H182" s="97">
        <v>0.5</v>
      </c>
      <c r="I182" s="93">
        <v>32.340000000000003</v>
      </c>
      <c r="J182" t="str">
        <f t="shared" si="2"/>
        <v>Yes</v>
      </c>
    </row>
    <row r="183" spans="1:10" ht="16" hidden="1" customHeight="1" x14ac:dyDescent="0.2">
      <c r="A183" s="43">
        <v>46284</v>
      </c>
      <c r="B183" s="13" t="s">
        <v>142</v>
      </c>
      <c r="C183" s="13" t="s">
        <v>141</v>
      </c>
      <c r="D183" s="93">
        <v>1</v>
      </c>
      <c r="E183" s="93">
        <v>6</v>
      </c>
      <c r="F183" s="93" t="s">
        <v>293</v>
      </c>
      <c r="G183" s="96">
        <v>9.4</v>
      </c>
      <c r="H183" s="97">
        <v>0.5</v>
      </c>
      <c r="I183" s="93">
        <v>7.6</v>
      </c>
      <c r="J183" t="str">
        <f t="shared" si="2"/>
        <v>No</v>
      </c>
    </row>
    <row r="184" spans="1:10" ht="16" hidden="1" customHeight="1" x14ac:dyDescent="0.2">
      <c r="A184" s="43">
        <v>46284</v>
      </c>
      <c r="B184" s="13" t="s">
        <v>142</v>
      </c>
      <c r="C184" s="13" t="s">
        <v>141</v>
      </c>
      <c r="D184" s="93">
        <v>1</v>
      </c>
      <c r="E184" s="93">
        <v>7</v>
      </c>
      <c r="F184" s="93" t="s">
        <v>294</v>
      </c>
      <c r="G184" s="96">
        <v>24</v>
      </c>
      <c r="H184" s="97">
        <v>0.5</v>
      </c>
      <c r="I184" s="93">
        <v>22.26</v>
      </c>
      <c r="J184" t="str">
        <f t="shared" si="2"/>
        <v>No</v>
      </c>
    </row>
    <row r="185" spans="1:10" ht="16" hidden="1" customHeight="1" x14ac:dyDescent="0.2">
      <c r="A185" s="43">
        <v>46284</v>
      </c>
      <c r="B185" s="13" t="s">
        <v>142</v>
      </c>
      <c r="C185" s="13" t="s">
        <v>141</v>
      </c>
      <c r="D185" s="93">
        <v>1</v>
      </c>
      <c r="E185" s="93">
        <v>10</v>
      </c>
      <c r="F185" s="93" t="s">
        <v>295</v>
      </c>
      <c r="G185" s="96">
        <v>23</v>
      </c>
      <c r="H185" s="97">
        <v>0.5</v>
      </c>
      <c r="I185" s="93">
        <v>27.3</v>
      </c>
      <c r="J185" t="str">
        <f t="shared" si="2"/>
        <v>Yes</v>
      </c>
    </row>
    <row r="186" spans="1:10" ht="16" hidden="1" customHeight="1" x14ac:dyDescent="0.2">
      <c r="A186" s="43">
        <v>46284</v>
      </c>
      <c r="B186" s="13" t="s">
        <v>142</v>
      </c>
      <c r="C186" s="13" t="s">
        <v>141</v>
      </c>
      <c r="D186" s="93">
        <v>1</v>
      </c>
      <c r="E186" s="93">
        <v>11</v>
      </c>
      <c r="F186" s="93" t="s">
        <v>296</v>
      </c>
      <c r="G186" s="96">
        <v>28</v>
      </c>
      <c r="H186" s="97">
        <v>0.5</v>
      </c>
      <c r="I186" s="93">
        <v>28</v>
      </c>
      <c r="J186" t="str">
        <f t="shared" si="2"/>
        <v>Yes</v>
      </c>
    </row>
    <row r="187" spans="1:10" ht="16" hidden="1" customHeight="1" x14ac:dyDescent="0.2">
      <c r="A187" s="43">
        <v>46284</v>
      </c>
      <c r="B187" s="13" t="s">
        <v>134</v>
      </c>
      <c r="C187" s="13" t="s">
        <v>138</v>
      </c>
      <c r="D187" s="93">
        <v>3</v>
      </c>
      <c r="E187" s="93">
        <v>3</v>
      </c>
      <c r="F187" s="93" t="s">
        <v>297</v>
      </c>
      <c r="G187" s="96">
        <v>9.8000000000000007</v>
      </c>
      <c r="H187" s="97">
        <v>0.5</v>
      </c>
      <c r="I187" s="93">
        <v>14.5</v>
      </c>
      <c r="J187" t="str">
        <f t="shared" si="2"/>
        <v>Yes</v>
      </c>
    </row>
    <row r="188" spans="1:10" ht="16" hidden="1" customHeight="1" x14ac:dyDescent="0.2">
      <c r="A188" s="43">
        <v>46284</v>
      </c>
      <c r="B188" s="13" t="s">
        <v>134</v>
      </c>
      <c r="C188" s="13" t="s">
        <v>138</v>
      </c>
      <c r="D188" s="93">
        <v>3</v>
      </c>
      <c r="E188" s="93">
        <v>4</v>
      </c>
      <c r="F188" s="93" t="s">
        <v>298</v>
      </c>
      <c r="G188" s="96">
        <v>8.6</v>
      </c>
      <c r="H188" s="97">
        <v>0.5</v>
      </c>
      <c r="I188" s="93">
        <v>15.53</v>
      </c>
      <c r="J188" t="str">
        <f t="shared" si="2"/>
        <v>Yes</v>
      </c>
    </row>
    <row r="189" spans="1:10" ht="16" hidden="1" customHeight="1" x14ac:dyDescent="0.2">
      <c r="A189" s="43">
        <v>46284</v>
      </c>
      <c r="B189" s="13" t="s">
        <v>134</v>
      </c>
      <c r="C189" s="13" t="s">
        <v>138</v>
      </c>
      <c r="D189" s="93">
        <v>3</v>
      </c>
      <c r="E189" s="93">
        <v>6</v>
      </c>
      <c r="F189" s="93" t="s">
        <v>201</v>
      </c>
      <c r="G189" s="96">
        <v>13</v>
      </c>
      <c r="H189" s="97">
        <v>0.5</v>
      </c>
      <c r="I189" s="93">
        <v>14.62</v>
      </c>
      <c r="J189" t="str">
        <f t="shared" si="2"/>
        <v>Yes</v>
      </c>
    </row>
    <row r="190" spans="1:10" ht="16" hidden="1" customHeight="1" x14ac:dyDescent="0.2">
      <c r="A190" s="43">
        <v>46284</v>
      </c>
      <c r="B190" s="13" t="s">
        <v>134</v>
      </c>
      <c r="C190" s="13" t="s">
        <v>138</v>
      </c>
      <c r="D190" s="93">
        <v>3</v>
      </c>
      <c r="E190" s="93">
        <v>8</v>
      </c>
      <c r="F190" s="93" t="s">
        <v>299</v>
      </c>
      <c r="G190" s="96">
        <v>28</v>
      </c>
      <c r="H190" s="97">
        <v>0.5</v>
      </c>
      <c r="I190" s="93">
        <v>28</v>
      </c>
      <c r="J190" t="str">
        <f t="shared" si="2"/>
        <v>Yes</v>
      </c>
    </row>
    <row r="191" spans="1:10" ht="16" hidden="1" customHeight="1" x14ac:dyDescent="0.2">
      <c r="A191" s="43">
        <v>46284</v>
      </c>
      <c r="B191" s="13" t="s">
        <v>134</v>
      </c>
      <c r="C191" s="13" t="s">
        <v>138</v>
      </c>
      <c r="D191" s="93">
        <v>3</v>
      </c>
      <c r="E191" s="93">
        <v>9</v>
      </c>
      <c r="F191" s="93" t="s">
        <v>300</v>
      </c>
      <c r="G191" s="96">
        <v>28</v>
      </c>
      <c r="H191" s="97">
        <v>0.5</v>
      </c>
      <c r="I191" s="93">
        <v>15.95</v>
      </c>
      <c r="J191" t="str">
        <f t="shared" si="2"/>
        <v>No</v>
      </c>
    </row>
    <row r="192" spans="1:10" ht="16" hidden="1" customHeight="1" x14ac:dyDescent="0.2">
      <c r="A192" s="43">
        <v>46284</v>
      </c>
      <c r="B192" s="13" t="s">
        <v>142</v>
      </c>
      <c r="C192" s="13" t="s">
        <v>141</v>
      </c>
      <c r="D192" s="93">
        <v>2</v>
      </c>
      <c r="E192" s="93">
        <v>10</v>
      </c>
      <c r="F192" s="93" t="s">
        <v>301</v>
      </c>
      <c r="G192" s="96">
        <v>12.5</v>
      </c>
      <c r="H192" s="97">
        <v>0.5</v>
      </c>
      <c r="I192" s="93">
        <v>18.5</v>
      </c>
      <c r="J192" t="str">
        <f t="shared" si="2"/>
        <v>Yes</v>
      </c>
    </row>
    <row r="193" spans="1:10" ht="16" hidden="1" customHeight="1" x14ac:dyDescent="0.2">
      <c r="A193" s="43">
        <v>46284</v>
      </c>
      <c r="B193" s="13" t="s">
        <v>134</v>
      </c>
      <c r="C193" s="13" t="s">
        <v>138</v>
      </c>
      <c r="D193" s="93">
        <v>4</v>
      </c>
      <c r="E193" s="93">
        <v>6</v>
      </c>
      <c r="F193" s="93" t="s">
        <v>302</v>
      </c>
      <c r="G193" s="96">
        <v>17</v>
      </c>
      <c r="H193" s="97">
        <v>0.5</v>
      </c>
      <c r="I193" s="93">
        <v>21.39</v>
      </c>
      <c r="J193" t="str">
        <f t="shared" si="2"/>
        <v>Yes</v>
      </c>
    </row>
    <row r="194" spans="1:10" ht="16" hidden="1" customHeight="1" x14ac:dyDescent="0.2">
      <c r="A194" s="43">
        <v>46284</v>
      </c>
      <c r="B194" s="13" t="s">
        <v>142</v>
      </c>
      <c r="C194" s="13" t="s">
        <v>141</v>
      </c>
      <c r="D194" s="93">
        <v>3</v>
      </c>
      <c r="E194" s="93">
        <v>5</v>
      </c>
      <c r="F194" s="93" t="s">
        <v>303</v>
      </c>
      <c r="G194" s="96">
        <v>29</v>
      </c>
      <c r="H194" s="97">
        <v>0.5</v>
      </c>
      <c r="I194" s="93">
        <v>46.18</v>
      </c>
      <c r="J194" t="str">
        <f t="shared" ref="J194:J257" si="3">IF(I194&gt;=G194,"Yes","No")</f>
        <v>Yes</v>
      </c>
    </row>
    <row r="195" spans="1:10" ht="16" hidden="1" customHeight="1" x14ac:dyDescent="0.2">
      <c r="A195" s="43">
        <v>46284</v>
      </c>
      <c r="B195" s="13" t="s">
        <v>142</v>
      </c>
      <c r="C195" s="13" t="s">
        <v>141</v>
      </c>
      <c r="D195" s="93">
        <v>3</v>
      </c>
      <c r="E195" s="93">
        <v>6</v>
      </c>
      <c r="F195" s="93" t="s">
        <v>304</v>
      </c>
      <c r="G195" s="96">
        <v>8.6</v>
      </c>
      <c r="H195" s="97">
        <v>0.5</v>
      </c>
      <c r="I195" s="93">
        <v>10.24</v>
      </c>
      <c r="J195" t="str">
        <f t="shared" si="3"/>
        <v>Yes</v>
      </c>
    </row>
    <row r="196" spans="1:10" ht="16" hidden="1" customHeight="1" x14ac:dyDescent="0.2">
      <c r="A196" s="43">
        <v>46284</v>
      </c>
      <c r="B196" s="13" t="s">
        <v>134</v>
      </c>
      <c r="C196" s="13" t="s">
        <v>138</v>
      </c>
      <c r="D196" s="93">
        <v>5</v>
      </c>
      <c r="E196" s="93">
        <v>4</v>
      </c>
      <c r="F196" s="93" t="s">
        <v>305</v>
      </c>
      <c r="G196" s="96">
        <v>6.8</v>
      </c>
      <c r="H196" s="97">
        <v>0.5</v>
      </c>
      <c r="I196" s="93">
        <v>5.89</v>
      </c>
      <c r="J196" t="str">
        <f t="shared" si="3"/>
        <v>No</v>
      </c>
    </row>
    <row r="197" spans="1:10" ht="16" hidden="1" customHeight="1" x14ac:dyDescent="0.2">
      <c r="A197" s="43">
        <v>46284</v>
      </c>
      <c r="B197" s="13" t="s">
        <v>134</v>
      </c>
      <c r="C197" s="13" t="s">
        <v>138</v>
      </c>
      <c r="D197" s="93">
        <v>5</v>
      </c>
      <c r="E197" s="93">
        <v>6</v>
      </c>
      <c r="F197" s="93" t="s">
        <v>306</v>
      </c>
      <c r="G197" s="96">
        <v>14.5</v>
      </c>
      <c r="H197" s="97">
        <v>0.5</v>
      </c>
      <c r="I197" s="93">
        <v>9.6</v>
      </c>
      <c r="J197" t="str">
        <f t="shared" si="3"/>
        <v>No</v>
      </c>
    </row>
    <row r="198" spans="1:10" ht="16" hidden="1" customHeight="1" x14ac:dyDescent="0.2">
      <c r="A198" s="43">
        <v>46284</v>
      </c>
      <c r="B198" s="13" t="s">
        <v>134</v>
      </c>
      <c r="C198" s="13" t="s">
        <v>138</v>
      </c>
      <c r="D198" s="93">
        <v>5</v>
      </c>
      <c r="E198" s="93">
        <v>8</v>
      </c>
      <c r="F198" s="93" t="s">
        <v>307</v>
      </c>
      <c r="G198" s="96">
        <v>7</v>
      </c>
      <c r="H198" s="97">
        <v>0.5</v>
      </c>
      <c r="I198" s="93">
        <v>4.74</v>
      </c>
      <c r="J198" t="str">
        <f t="shared" si="3"/>
        <v>No</v>
      </c>
    </row>
    <row r="199" spans="1:10" ht="16" hidden="1" customHeight="1" x14ac:dyDescent="0.2">
      <c r="A199" s="43">
        <v>46284</v>
      </c>
      <c r="B199" s="13" t="s">
        <v>134</v>
      </c>
      <c r="C199" s="13" t="s">
        <v>138</v>
      </c>
      <c r="D199" s="93">
        <v>5</v>
      </c>
      <c r="E199" s="93">
        <v>10</v>
      </c>
      <c r="F199" s="93" t="s">
        <v>308</v>
      </c>
      <c r="G199" s="96">
        <v>17</v>
      </c>
      <c r="H199" s="97">
        <v>0.5</v>
      </c>
      <c r="I199" s="93">
        <v>14</v>
      </c>
      <c r="J199" t="str">
        <f t="shared" si="3"/>
        <v>No</v>
      </c>
    </row>
    <row r="200" spans="1:10" ht="16" hidden="1" customHeight="1" x14ac:dyDescent="0.2">
      <c r="A200" s="43">
        <v>46284</v>
      </c>
      <c r="B200" s="13" t="s">
        <v>134</v>
      </c>
      <c r="C200" s="13" t="s">
        <v>138</v>
      </c>
      <c r="D200" s="93">
        <v>5</v>
      </c>
      <c r="E200" s="93">
        <v>12</v>
      </c>
      <c r="F200" s="93" t="s">
        <v>309</v>
      </c>
      <c r="G200" s="96">
        <v>25</v>
      </c>
      <c r="H200" s="97">
        <v>0.5</v>
      </c>
      <c r="I200" s="93">
        <v>46.95</v>
      </c>
      <c r="J200" t="str">
        <f t="shared" si="3"/>
        <v>Yes</v>
      </c>
    </row>
    <row r="201" spans="1:10" ht="16" hidden="1" customHeight="1" x14ac:dyDescent="0.2">
      <c r="A201" s="43">
        <v>46284</v>
      </c>
      <c r="B201" s="13" t="s">
        <v>134</v>
      </c>
      <c r="C201" s="13" t="s">
        <v>138</v>
      </c>
      <c r="D201" s="93">
        <v>6</v>
      </c>
      <c r="E201" s="93">
        <v>2</v>
      </c>
      <c r="F201" s="93" t="s">
        <v>310</v>
      </c>
      <c r="G201" s="96">
        <v>8.6</v>
      </c>
      <c r="H201" s="97">
        <v>0.5</v>
      </c>
      <c r="I201" s="93">
        <v>7.45</v>
      </c>
      <c r="J201" t="str">
        <f t="shared" si="3"/>
        <v>No</v>
      </c>
    </row>
    <row r="202" spans="1:10" ht="16" hidden="1" customHeight="1" x14ac:dyDescent="0.2">
      <c r="A202" s="43">
        <v>46284</v>
      </c>
      <c r="B202" s="13" t="s">
        <v>134</v>
      </c>
      <c r="C202" s="13" t="s">
        <v>138</v>
      </c>
      <c r="D202" s="93">
        <v>6</v>
      </c>
      <c r="E202" s="93">
        <v>11</v>
      </c>
      <c r="F202" s="93" t="s">
        <v>311</v>
      </c>
      <c r="G202" s="96">
        <v>6.6</v>
      </c>
      <c r="H202" s="97">
        <v>0.5</v>
      </c>
      <c r="I202" s="93">
        <v>6</v>
      </c>
      <c r="J202" t="str">
        <f t="shared" si="3"/>
        <v>No</v>
      </c>
    </row>
    <row r="203" spans="1:10" ht="16" hidden="1" customHeight="1" x14ac:dyDescent="0.2">
      <c r="A203" s="43">
        <v>46284</v>
      </c>
      <c r="B203" s="13" t="s">
        <v>134</v>
      </c>
      <c r="C203" s="13" t="s">
        <v>138</v>
      </c>
      <c r="D203" s="93">
        <v>6</v>
      </c>
      <c r="E203" s="93">
        <v>12</v>
      </c>
      <c r="F203" s="93" t="s">
        <v>312</v>
      </c>
      <c r="G203" s="96">
        <v>11</v>
      </c>
      <c r="H203" s="97">
        <v>0.5</v>
      </c>
      <c r="I203" s="93">
        <v>7.2</v>
      </c>
      <c r="J203" t="str">
        <f t="shared" si="3"/>
        <v>No</v>
      </c>
    </row>
    <row r="204" spans="1:10" ht="16" hidden="1" customHeight="1" x14ac:dyDescent="0.2">
      <c r="A204" s="43">
        <v>46284</v>
      </c>
      <c r="B204" s="13" t="s">
        <v>142</v>
      </c>
      <c r="C204" s="13" t="s">
        <v>141</v>
      </c>
      <c r="D204" s="93">
        <v>6</v>
      </c>
      <c r="E204" s="93">
        <v>9</v>
      </c>
      <c r="F204" s="93" t="s">
        <v>313</v>
      </c>
      <c r="G204" s="96">
        <v>8.4</v>
      </c>
      <c r="H204" s="97">
        <v>0.5</v>
      </c>
      <c r="I204" s="93">
        <v>12.06</v>
      </c>
      <c r="J204" t="str">
        <f t="shared" si="3"/>
        <v>Yes</v>
      </c>
    </row>
    <row r="205" spans="1:10" ht="16" hidden="1" customHeight="1" x14ac:dyDescent="0.2">
      <c r="A205" s="43">
        <v>46284</v>
      </c>
      <c r="B205" s="13" t="s">
        <v>142</v>
      </c>
      <c r="C205" s="13" t="s">
        <v>141</v>
      </c>
      <c r="D205" s="93">
        <v>6</v>
      </c>
      <c r="E205" s="93">
        <v>14</v>
      </c>
      <c r="F205" s="93" t="s">
        <v>314</v>
      </c>
      <c r="G205" s="96">
        <v>27</v>
      </c>
      <c r="H205" s="97">
        <v>0.5</v>
      </c>
      <c r="I205" s="93">
        <v>40</v>
      </c>
      <c r="J205" t="str">
        <f t="shared" si="3"/>
        <v>Yes</v>
      </c>
    </row>
    <row r="206" spans="1:10" ht="16" hidden="1" customHeight="1" x14ac:dyDescent="0.2">
      <c r="A206" s="43">
        <v>46284</v>
      </c>
      <c r="B206" s="13" t="s">
        <v>134</v>
      </c>
      <c r="C206" s="13" t="s">
        <v>138</v>
      </c>
      <c r="D206" s="93">
        <v>8</v>
      </c>
      <c r="E206" s="93">
        <v>6</v>
      </c>
      <c r="F206" s="93" t="s">
        <v>315</v>
      </c>
      <c r="G206" s="96">
        <v>21</v>
      </c>
      <c r="H206" s="97">
        <v>0.5</v>
      </c>
      <c r="I206" s="93">
        <v>42</v>
      </c>
      <c r="J206" t="str">
        <f t="shared" si="3"/>
        <v>Yes</v>
      </c>
    </row>
    <row r="207" spans="1:10" ht="16" hidden="1" customHeight="1" x14ac:dyDescent="0.2">
      <c r="A207" s="43">
        <v>46284</v>
      </c>
      <c r="B207" s="13" t="s">
        <v>142</v>
      </c>
      <c r="C207" s="13" t="s">
        <v>141</v>
      </c>
      <c r="D207" s="93">
        <v>7</v>
      </c>
      <c r="E207" s="93">
        <v>9</v>
      </c>
      <c r="F207" s="93" t="s">
        <v>316</v>
      </c>
      <c r="G207" s="96">
        <v>29</v>
      </c>
      <c r="H207" s="97">
        <v>0.5</v>
      </c>
      <c r="I207" s="93">
        <v>29</v>
      </c>
      <c r="J207" t="str">
        <f t="shared" si="3"/>
        <v>Yes</v>
      </c>
    </row>
    <row r="208" spans="1:10" ht="16" hidden="1" customHeight="1" x14ac:dyDescent="0.2">
      <c r="A208" s="43">
        <v>46284</v>
      </c>
      <c r="B208" s="13" t="s">
        <v>142</v>
      </c>
      <c r="C208" s="13" t="s">
        <v>141</v>
      </c>
      <c r="D208" s="93">
        <v>7</v>
      </c>
      <c r="E208" s="93">
        <v>14</v>
      </c>
      <c r="F208" s="93" t="s">
        <v>317</v>
      </c>
      <c r="G208" s="96">
        <v>10.5</v>
      </c>
      <c r="H208" s="97">
        <v>0.5</v>
      </c>
      <c r="I208" s="93">
        <v>25.07</v>
      </c>
      <c r="J208" t="str">
        <f t="shared" si="3"/>
        <v>Yes</v>
      </c>
    </row>
    <row r="209" spans="1:10" ht="16" hidden="1" customHeight="1" x14ac:dyDescent="0.2">
      <c r="A209" s="43">
        <v>46284</v>
      </c>
      <c r="B209" s="13" t="s">
        <v>142</v>
      </c>
      <c r="C209" s="13" t="s">
        <v>141</v>
      </c>
      <c r="D209" s="93">
        <v>7</v>
      </c>
      <c r="E209" s="93">
        <v>17</v>
      </c>
      <c r="F209" s="93" t="s">
        <v>318</v>
      </c>
      <c r="G209" s="96">
        <v>10.5</v>
      </c>
      <c r="H209" s="97">
        <v>0.5</v>
      </c>
      <c r="I209" s="93">
        <v>7.2</v>
      </c>
      <c r="J209" t="str">
        <f t="shared" si="3"/>
        <v>No</v>
      </c>
    </row>
    <row r="210" spans="1:10" ht="16" hidden="1" customHeight="1" x14ac:dyDescent="0.2">
      <c r="A210" s="43">
        <v>46284</v>
      </c>
      <c r="B210" s="13" t="s">
        <v>142</v>
      </c>
      <c r="C210" s="13" t="s">
        <v>141</v>
      </c>
      <c r="D210" s="93">
        <v>7</v>
      </c>
      <c r="E210" s="93">
        <v>18</v>
      </c>
      <c r="F210" s="93" t="s">
        <v>319</v>
      </c>
      <c r="G210" s="96">
        <v>8.6</v>
      </c>
      <c r="H210" s="97">
        <v>0.5</v>
      </c>
      <c r="I210" s="93">
        <v>5.13</v>
      </c>
      <c r="J210" t="str">
        <f t="shared" si="3"/>
        <v>No</v>
      </c>
    </row>
    <row r="211" spans="1:10" ht="16" hidden="1" customHeight="1" x14ac:dyDescent="0.2">
      <c r="A211" s="43">
        <v>46284</v>
      </c>
      <c r="B211" s="13" t="s">
        <v>134</v>
      </c>
      <c r="C211" s="13" t="s">
        <v>138</v>
      </c>
      <c r="D211" s="93">
        <v>9</v>
      </c>
      <c r="E211" s="93">
        <v>5</v>
      </c>
      <c r="F211" s="93" t="s">
        <v>320</v>
      </c>
      <c r="G211" s="96">
        <v>16</v>
      </c>
      <c r="H211" s="97">
        <v>0.5</v>
      </c>
      <c r="I211" s="93">
        <v>28.13</v>
      </c>
      <c r="J211" t="str">
        <f t="shared" si="3"/>
        <v>Yes</v>
      </c>
    </row>
    <row r="212" spans="1:10" ht="16" hidden="1" customHeight="1" x14ac:dyDescent="0.2">
      <c r="A212" s="43">
        <v>46284</v>
      </c>
      <c r="B212" s="13" t="s">
        <v>134</v>
      </c>
      <c r="C212" s="13" t="s">
        <v>138</v>
      </c>
      <c r="D212" s="93">
        <v>9</v>
      </c>
      <c r="E212" s="93">
        <v>6</v>
      </c>
      <c r="F212" s="93" t="s">
        <v>321</v>
      </c>
      <c r="G212" s="96">
        <v>29</v>
      </c>
      <c r="H212" s="97">
        <v>0.5</v>
      </c>
      <c r="I212" s="93">
        <v>26</v>
      </c>
      <c r="J212" t="str">
        <f t="shared" si="3"/>
        <v>No</v>
      </c>
    </row>
    <row r="213" spans="1:10" ht="16" hidden="1" customHeight="1" x14ac:dyDescent="0.2">
      <c r="A213" s="43">
        <v>46284</v>
      </c>
      <c r="B213" s="13" t="s">
        <v>134</v>
      </c>
      <c r="C213" s="13" t="s">
        <v>138</v>
      </c>
      <c r="D213" s="93">
        <v>9</v>
      </c>
      <c r="E213" s="93">
        <v>8</v>
      </c>
      <c r="F213" s="93" t="s">
        <v>322</v>
      </c>
      <c r="G213" s="96">
        <v>29</v>
      </c>
      <c r="H213" s="97">
        <v>0.5</v>
      </c>
      <c r="I213" s="93">
        <v>35.6</v>
      </c>
      <c r="J213" t="str">
        <f t="shared" si="3"/>
        <v>Yes</v>
      </c>
    </row>
    <row r="214" spans="1:10" ht="16" hidden="1" customHeight="1" x14ac:dyDescent="0.2">
      <c r="A214" s="43">
        <v>46284</v>
      </c>
      <c r="B214" s="13" t="s">
        <v>142</v>
      </c>
      <c r="C214" s="13" t="s">
        <v>141</v>
      </c>
      <c r="D214" s="93">
        <v>8</v>
      </c>
      <c r="E214" s="93">
        <v>6</v>
      </c>
      <c r="F214" s="93" t="s">
        <v>323</v>
      </c>
      <c r="G214" s="96">
        <v>11</v>
      </c>
      <c r="H214" s="97">
        <v>0.5</v>
      </c>
      <c r="I214" s="93">
        <v>14</v>
      </c>
      <c r="J214" t="str">
        <f t="shared" si="3"/>
        <v>Yes</v>
      </c>
    </row>
    <row r="215" spans="1:10" ht="16" hidden="1" customHeight="1" x14ac:dyDescent="0.2">
      <c r="A215" s="43">
        <v>46284</v>
      </c>
      <c r="B215" s="13" t="s">
        <v>134</v>
      </c>
      <c r="C215" s="13" t="s">
        <v>138</v>
      </c>
      <c r="D215" s="93">
        <v>10</v>
      </c>
      <c r="E215" s="93">
        <v>1</v>
      </c>
      <c r="F215" s="93" t="s">
        <v>324</v>
      </c>
      <c r="G215" s="96">
        <v>8.8000000000000007</v>
      </c>
      <c r="H215" s="97">
        <v>0.5</v>
      </c>
      <c r="I215" s="93">
        <v>10.06</v>
      </c>
      <c r="J215" t="str">
        <f t="shared" si="3"/>
        <v>Yes</v>
      </c>
    </row>
    <row r="216" spans="1:10" ht="16" hidden="1" customHeight="1" x14ac:dyDescent="0.2">
      <c r="A216" s="43">
        <v>46284</v>
      </c>
      <c r="B216" s="13" t="s">
        <v>134</v>
      </c>
      <c r="C216" s="13" t="s">
        <v>138</v>
      </c>
      <c r="D216" s="93">
        <v>10</v>
      </c>
      <c r="E216" s="93">
        <v>2</v>
      </c>
      <c r="F216" s="93" t="s">
        <v>325</v>
      </c>
      <c r="G216" s="96">
        <v>6.2</v>
      </c>
      <c r="H216" s="97">
        <v>0.5</v>
      </c>
      <c r="I216" s="93">
        <v>7.22</v>
      </c>
      <c r="J216" t="str">
        <f t="shared" si="3"/>
        <v>Yes</v>
      </c>
    </row>
    <row r="217" spans="1:10" ht="16" hidden="1" customHeight="1" x14ac:dyDescent="0.2">
      <c r="A217" s="43">
        <v>46284</v>
      </c>
      <c r="B217" s="13" t="s">
        <v>134</v>
      </c>
      <c r="C217" s="13" t="s">
        <v>138</v>
      </c>
      <c r="D217" s="93">
        <v>10</v>
      </c>
      <c r="E217" s="93">
        <v>4</v>
      </c>
      <c r="F217" s="93" t="s">
        <v>326</v>
      </c>
      <c r="G217" s="96">
        <v>22</v>
      </c>
      <c r="H217" s="97">
        <v>0.5</v>
      </c>
      <c r="I217" s="93">
        <v>18.11</v>
      </c>
      <c r="J217" t="str">
        <f t="shared" si="3"/>
        <v>No</v>
      </c>
    </row>
    <row r="218" spans="1:10" ht="16" hidden="1" customHeight="1" x14ac:dyDescent="0.2">
      <c r="A218" s="43">
        <v>46284</v>
      </c>
      <c r="B218" s="13" t="s">
        <v>134</v>
      </c>
      <c r="C218" s="13" t="s">
        <v>138</v>
      </c>
      <c r="D218" s="93">
        <v>10</v>
      </c>
      <c r="E218" s="93">
        <v>7</v>
      </c>
      <c r="F218" s="93" t="s">
        <v>327</v>
      </c>
      <c r="G218" s="96">
        <v>30</v>
      </c>
      <c r="H218" s="97">
        <v>0.5</v>
      </c>
      <c r="I218" s="93">
        <v>30</v>
      </c>
      <c r="J218" t="str">
        <f t="shared" si="3"/>
        <v>Yes</v>
      </c>
    </row>
    <row r="219" spans="1:10" ht="16" hidden="1" customHeight="1" x14ac:dyDescent="0.2">
      <c r="A219" s="43">
        <v>46288</v>
      </c>
      <c r="B219" s="13" t="s">
        <v>142</v>
      </c>
      <c r="C219" s="13" t="s">
        <v>141</v>
      </c>
      <c r="D219" s="93">
        <v>2</v>
      </c>
      <c r="E219" s="93">
        <v>2</v>
      </c>
      <c r="F219" s="93" t="s">
        <v>296</v>
      </c>
      <c r="G219" s="96">
        <v>18</v>
      </c>
      <c r="H219" s="97">
        <v>0.5</v>
      </c>
      <c r="I219" s="93">
        <v>15.44</v>
      </c>
      <c r="J219" t="str">
        <f t="shared" si="3"/>
        <v>No</v>
      </c>
    </row>
    <row r="220" spans="1:10" ht="16" hidden="1" customHeight="1" x14ac:dyDescent="0.2">
      <c r="A220" s="43">
        <v>46288</v>
      </c>
      <c r="B220" s="13" t="s">
        <v>142</v>
      </c>
      <c r="C220" s="13" t="s">
        <v>141</v>
      </c>
      <c r="D220" s="93">
        <v>2</v>
      </c>
      <c r="E220" s="93">
        <v>4</v>
      </c>
      <c r="F220" s="93" t="s">
        <v>328</v>
      </c>
      <c r="G220" s="96">
        <v>22</v>
      </c>
      <c r="H220" s="97">
        <v>0.5</v>
      </c>
      <c r="I220" s="93">
        <v>19</v>
      </c>
      <c r="J220" t="str">
        <f t="shared" si="3"/>
        <v>No</v>
      </c>
    </row>
    <row r="221" spans="1:10" ht="16" hidden="1" customHeight="1" x14ac:dyDescent="0.2">
      <c r="A221" s="43">
        <v>46288</v>
      </c>
      <c r="B221" s="13" t="s">
        <v>142</v>
      </c>
      <c r="C221" s="13" t="s">
        <v>141</v>
      </c>
      <c r="D221" s="93">
        <v>2</v>
      </c>
      <c r="E221" s="93">
        <v>6</v>
      </c>
      <c r="F221" s="93" t="s">
        <v>329</v>
      </c>
      <c r="G221" s="96">
        <v>13</v>
      </c>
      <c r="H221" s="97">
        <v>0.5</v>
      </c>
      <c r="I221" s="93">
        <v>13</v>
      </c>
      <c r="J221" t="str">
        <f t="shared" si="3"/>
        <v>Yes</v>
      </c>
    </row>
    <row r="222" spans="1:10" ht="16" hidden="1" customHeight="1" x14ac:dyDescent="0.2">
      <c r="A222" s="43">
        <v>46288</v>
      </c>
      <c r="B222" s="13" t="s">
        <v>142</v>
      </c>
      <c r="C222" s="13" t="s">
        <v>141</v>
      </c>
      <c r="D222" s="93">
        <v>2</v>
      </c>
      <c r="E222" s="93">
        <v>9</v>
      </c>
      <c r="F222" s="93" t="s">
        <v>330</v>
      </c>
      <c r="G222" s="96">
        <v>27</v>
      </c>
      <c r="H222" s="97">
        <v>0.5</v>
      </c>
      <c r="I222" s="93">
        <v>56.44</v>
      </c>
      <c r="J222" t="str">
        <f t="shared" si="3"/>
        <v>Yes</v>
      </c>
    </row>
    <row r="223" spans="1:10" ht="16" hidden="1" customHeight="1" x14ac:dyDescent="0.2">
      <c r="A223" s="43">
        <v>46288</v>
      </c>
      <c r="B223" s="13" t="s">
        <v>142</v>
      </c>
      <c r="C223" s="13" t="s">
        <v>141</v>
      </c>
      <c r="D223" s="93">
        <v>3</v>
      </c>
      <c r="E223" s="93">
        <v>1</v>
      </c>
      <c r="F223" s="93" t="s">
        <v>331</v>
      </c>
      <c r="G223" s="96">
        <v>8.6</v>
      </c>
      <c r="H223" s="97">
        <v>0.5</v>
      </c>
      <c r="I223" s="93">
        <v>8.6</v>
      </c>
      <c r="J223" t="str">
        <f t="shared" si="3"/>
        <v>Yes</v>
      </c>
    </row>
    <row r="224" spans="1:10" ht="16" hidden="1" customHeight="1" x14ac:dyDescent="0.2">
      <c r="A224" s="43">
        <v>46288</v>
      </c>
      <c r="B224" s="13" t="s">
        <v>142</v>
      </c>
      <c r="C224" s="13" t="s">
        <v>141</v>
      </c>
      <c r="D224" s="93">
        <v>3</v>
      </c>
      <c r="E224" s="93">
        <v>4</v>
      </c>
      <c r="F224" s="93" t="s">
        <v>332</v>
      </c>
      <c r="G224" s="96">
        <v>24</v>
      </c>
      <c r="H224" s="97">
        <v>0.5</v>
      </c>
      <c r="I224" s="93">
        <v>36</v>
      </c>
      <c r="J224" t="str">
        <f t="shared" si="3"/>
        <v>Yes</v>
      </c>
    </row>
    <row r="225" spans="1:10" ht="16" hidden="1" customHeight="1" x14ac:dyDescent="0.2">
      <c r="A225" s="43">
        <v>46288</v>
      </c>
      <c r="B225" s="13" t="s">
        <v>142</v>
      </c>
      <c r="C225" s="13" t="s">
        <v>141</v>
      </c>
      <c r="D225" s="93">
        <v>5</v>
      </c>
      <c r="E225" s="93">
        <v>1</v>
      </c>
      <c r="F225" s="93" t="s">
        <v>333</v>
      </c>
      <c r="G225" s="96">
        <v>14</v>
      </c>
      <c r="H225" s="97">
        <v>0.5</v>
      </c>
      <c r="I225" s="93">
        <v>18.5</v>
      </c>
      <c r="J225" t="str">
        <f t="shared" si="3"/>
        <v>Yes</v>
      </c>
    </row>
    <row r="226" spans="1:10" ht="16" hidden="1" customHeight="1" x14ac:dyDescent="0.2">
      <c r="A226" s="43">
        <v>46288</v>
      </c>
      <c r="B226" s="13" t="s">
        <v>142</v>
      </c>
      <c r="C226" s="13" t="s">
        <v>141</v>
      </c>
      <c r="D226" s="93">
        <v>5</v>
      </c>
      <c r="E226" s="93">
        <v>3</v>
      </c>
      <c r="F226" s="93" t="s">
        <v>223</v>
      </c>
      <c r="G226" s="96">
        <v>10</v>
      </c>
      <c r="H226" s="97">
        <v>0.5</v>
      </c>
      <c r="I226" s="93">
        <v>10.5</v>
      </c>
      <c r="J226" t="str">
        <f t="shared" si="3"/>
        <v>Yes</v>
      </c>
    </row>
    <row r="227" spans="1:10" ht="16" hidden="1" customHeight="1" x14ac:dyDescent="0.2">
      <c r="A227" s="43">
        <v>46288</v>
      </c>
      <c r="B227" s="13" t="s">
        <v>142</v>
      </c>
      <c r="C227" s="13" t="s">
        <v>141</v>
      </c>
      <c r="D227" s="93">
        <v>5</v>
      </c>
      <c r="E227" s="93">
        <v>4</v>
      </c>
      <c r="F227" s="93" t="s">
        <v>334</v>
      </c>
      <c r="G227" s="96">
        <v>8.4</v>
      </c>
      <c r="H227" s="97">
        <v>0.5</v>
      </c>
      <c r="I227" s="93">
        <v>10</v>
      </c>
      <c r="J227" t="str">
        <f t="shared" si="3"/>
        <v>Yes</v>
      </c>
    </row>
    <row r="228" spans="1:10" ht="16" hidden="1" customHeight="1" x14ac:dyDescent="0.2">
      <c r="A228" s="43">
        <v>46288</v>
      </c>
      <c r="B228" s="13" t="s">
        <v>142</v>
      </c>
      <c r="C228" s="13" t="s">
        <v>141</v>
      </c>
      <c r="D228" s="93">
        <v>5</v>
      </c>
      <c r="E228" s="93">
        <v>5</v>
      </c>
      <c r="F228" s="93" t="s">
        <v>335</v>
      </c>
      <c r="G228" s="96">
        <v>11</v>
      </c>
      <c r="H228" s="97">
        <v>0.5</v>
      </c>
      <c r="I228" s="93">
        <v>10.5</v>
      </c>
      <c r="J228" t="str">
        <f t="shared" si="3"/>
        <v>No</v>
      </c>
    </row>
    <row r="229" spans="1:10" ht="16" hidden="1" customHeight="1" x14ac:dyDescent="0.2">
      <c r="A229" s="43">
        <v>46288</v>
      </c>
      <c r="B229" s="13" t="s">
        <v>142</v>
      </c>
      <c r="C229" s="13" t="s">
        <v>141</v>
      </c>
      <c r="D229" s="93">
        <v>6</v>
      </c>
      <c r="E229" s="93">
        <v>3</v>
      </c>
      <c r="F229" s="93" t="s">
        <v>336</v>
      </c>
      <c r="G229" s="96">
        <v>20</v>
      </c>
      <c r="H229" s="97">
        <v>0.5</v>
      </c>
      <c r="I229" s="93">
        <v>18</v>
      </c>
      <c r="J229" t="str">
        <f t="shared" si="3"/>
        <v>No</v>
      </c>
    </row>
    <row r="230" spans="1:10" ht="16" hidden="1" customHeight="1" x14ac:dyDescent="0.2">
      <c r="A230" s="43">
        <v>46288</v>
      </c>
      <c r="B230" s="13" t="s">
        <v>142</v>
      </c>
      <c r="C230" s="13" t="s">
        <v>141</v>
      </c>
      <c r="D230" s="93">
        <v>6</v>
      </c>
      <c r="E230" s="93">
        <v>4</v>
      </c>
      <c r="F230" s="93" t="s">
        <v>337</v>
      </c>
      <c r="G230" s="96">
        <v>19.5</v>
      </c>
      <c r="H230" s="97">
        <v>0.5</v>
      </c>
      <c r="I230" s="93">
        <v>19</v>
      </c>
      <c r="J230" t="str">
        <f t="shared" si="3"/>
        <v>No</v>
      </c>
    </row>
    <row r="231" spans="1:10" ht="16" hidden="1" customHeight="1" x14ac:dyDescent="0.2">
      <c r="A231" s="43">
        <v>46288</v>
      </c>
      <c r="B231" s="13" t="s">
        <v>142</v>
      </c>
      <c r="C231" s="13" t="s">
        <v>141</v>
      </c>
      <c r="D231" s="93">
        <v>6</v>
      </c>
      <c r="E231" s="93">
        <v>5</v>
      </c>
      <c r="F231" s="93" t="s">
        <v>338</v>
      </c>
      <c r="G231" s="96">
        <v>13</v>
      </c>
      <c r="H231" s="97">
        <v>0.5</v>
      </c>
      <c r="I231" s="93">
        <v>7.18</v>
      </c>
      <c r="J231" t="str">
        <f t="shared" si="3"/>
        <v>No</v>
      </c>
    </row>
    <row r="232" spans="1:10" ht="16" hidden="1" customHeight="1" x14ac:dyDescent="0.2">
      <c r="A232" s="43">
        <v>46288</v>
      </c>
      <c r="B232" s="13" t="s">
        <v>142</v>
      </c>
      <c r="C232" s="13" t="s">
        <v>141</v>
      </c>
      <c r="D232" s="93">
        <v>6</v>
      </c>
      <c r="E232" s="93">
        <v>7</v>
      </c>
      <c r="F232" s="93" t="s">
        <v>339</v>
      </c>
      <c r="G232" s="96">
        <v>10</v>
      </c>
      <c r="H232" s="97">
        <v>0.5</v>
      </c>
      <c r="I232" s="93">
        <v>10.24</v>
      </c>
      <c r="J232" t="str">
        <f t="shared" si="3"/>
        <v>Yes</v>
      </c>
    </row>
    <row r="233" spans="1:10" ht="16" hidden="1" customHeight="1" x14ac:dyDescent="0.2">
      <c r="A233" s="43">
        <v>46288</v>
      </c>
      <c r="B233" s="13" t="s">
        <v>142</v>
      </c>
      <c r="C233" s="13" t="s">
        <v>141</v>
      </c>
      <c r="D233" s="93">
        <v>7</v>
      </c>
      <c r="E233" s="93">
        <v>1</v>
      </c>
      <c r="F233" s="93" t="s">
        <v>340</v>
      </c>
      <c r="G233" s="96">
        <v>15</v>
      </c>
      <c r="H233" s="97">
        <v>0.5</v>
      </c>
      <c r="I233" s="93">
        <v>7.61</v>
      </c>
      <c r="J233" t="str">
        <f t="shared" si="3"/>
        <v>No</v>
      </c>
    </row>
    <row r="234" spans="1:10" ht="16" hidden="1" customHeight="1" x14ac:dyDescent="0.2">
      <c r="A234" s="43">
        <v>46288</v>
      </c>
      <c r="B234" s="13" t="s">
        <v>142</v>
      </c>
      <c r="C234" s="13" t="s">
        <v>141</v>
      </c>
      <c r="D234" s="93">
        <v>7</v>
      </c>
      <c r="E234" s="93">
        <v>3</v>
      </c>
      <c r="F234" s="93" t="s">
        <v>341</v>
      </c>
      <c r="G234" s="96">
        <v>10</v>
      </c>
      <c r="H234" s="97">
        <v>0.5</v>
      </c>
      <c r="I234" s="93">
        <v>7</v>
      </c>
      <c r="J234" t="str">
        <f t="shared" si="3"/>
        <v>No</v>
      </c>
    </row>
    <row r="235" spans="1:10" ht="16" hidden="1" customHeight="1" x14ac:dyDescent="0.2">
      <c r="A235" s="43">
        <v>46288</v>
      </c>
      <c r="B235" s="13" t="s">
        <v>142</v>
      </c>
      <c r="C235" s="13" t="s">
        <v>141</v>
      </c>
      <c r="D235" s="93">
        <v>7</v>
      </c>
      <c r="E235" s="93">
        <v>6</v>
      </c>
      <c r="F235" s="93" t="s">
        <v>342</v>
      </c>
      <c r="G235" s="96">
        <v>28</v>
      </c>
      <c r="H235" s="97">
        <v>0.5</v>
      </c>
      <c r="I235" s="93">
        <v>20.64</v>
      </c>
      <c r="J235" t="str">
        <f t="shared" si="3"/>
        <v>No</v>
      </c>
    </row>
    <row r="236" spans="1:10" ht="16" hidden="1" customHeight="1" x14ac:dyDescent="0.2">
      <c r="A236" s="43">
        <v>46288</v>
      </c>
      <c r="B236" s="13" t="s">
        <v>142</v>
      </c>
      <c r="C236" s="13" t="s">
        <v>141</v>
      </c>
      <c r="D236" s="93">
        <v>7</v>
      </c>
      <c r="E236" s="93">
        <v>8</v>
      </c>
      <c r="F236" s="93" t="s">
        <v>343</v>
      </c>
      <c r="G236" s="96">
        <v>12.5</v>
      </c>
      <c r="H236" s="97">
        <v>0.5</v>
      </c>
      <c r="I236" s="93">
        <v>18.5</v>
      </c>
      <c r="J236" t="str">
        <f t="shared" si="3"/>
        <v>Yes</v>
      </c>
    </row>
    <row r="237" spans="1:10" ht="16" hidden="1" customHeight="1" x14ac:dyDescent="0.2">
      <c r="A237" s="43">
        <v>46288</v>
      </c>
      <c r="B237" s="13" t="s">
        <v>142</v>
      </c>
      <c r="C237" s="13" t="s">
        <v>141</v>
      </c>
      <c r="D237" s="93">
        <v>7</v>
      </c>
      <c r="E237" s="93">
        <v>15</v>
      </c>
      <c r="F237" s="93" t="s">
        <v>344</v>
      </c>
      <c r="G237" s="96">
        <v>12</v>
      </c>
      <c r="H237" s="97">
        <v>0.5</v>
      </c>
      <c r="I237" s="93">
        <v>6.4</v>
      </c>
      <c r="J237" t="str">
        <f t="shared" si="3"/>
        <v>No</v>
      </c>
    </row>
    <row r="238" spans="1:10" ht="16" hidden="1" customHeight="1" x14ac:dyDescent="0.2">
      <c r="A238" s="43">
        <v>46291</v>
      </c>
      <c r="B238" s="13" t="s">
        <v>134</v>
      </c>
      <c r="C238" s="13" t="s">
        <v>139</v>
      </c>
      <c r="D238" s="93">
        <v>1</v>
      </c>
      <c r="E238" s="93">
        <v>9</v>
      </c>
      <c r="F238" s="93" t="s">
        <v>217</v>
      </c>
      <c r="G238" s="96">
        <v>19</v>
      </c>
      <c r="H238" s="97">
        <v>0.5</v>
      </c>
      <c r="I238" s="93">
        <v>15</v>
      </c>
      <c r="J238" t="str">
        <f t="shared" si="3"/>
        <v>No</v>
      </c>
    </row>
    <row r="239" spans="1:10" ht="16" hidden="1" customHeight="1" x14ac:dyDescent="0.2">
      <c r="A239" s="43">
        <v>46291</v>
      </c>
      <c r="B239" s="13" t="s">
        <v>134</v>
      </c>
      <c r="C239" s="13" t="s">
        <v>139</v>
      </c>
      <c r="D239" s="93">
        <v>2</v>
      </c>
      <c r="E239" s="93">
        <v>1</v>
      </c>
      <c r="F239" s="93" t="s">
        <v>345</v>
      </c>
      <c r="G239" s="96">
        <v>16.5</v>
      </c>
      <c r="H239" s="97">
        <v>0.5</v>
      </c>
      <c r="I239" s="93">
        <v>19.13</v>
      </c>
      <c r="J239" t="str">
        <f t="shared" si="3"/>
        <v>Yes</v>
      </c>
    </row>
    <row r="240" spans="1:10" ht="16" hidden="1" customHeight="1" x14ac:dyDescent="0.2">
      <c r="A240" s="43">
        <v>46291</v>
      </c>
      <c r="B240" s="13" t="s">
        <v>134</v>
      </c>
      <c r="C240" s="13" t="s">
        <v>139</v>
      </c>
      <c r="D240" s="93">
        <v>2</v>
      </c>
      <c r="E240" s="93">
        <v>4</v>
      </c>
      <c r="F240" s="93" t="s">
        <v>346</v>
      </c>
      <c r="G240" s="96">
        <v>30</v>
      </c>
      <c r="H240" s="97">
        <v>0.5</v>
      </c>
      <c r="I240" s="93">
        <v>17.62</v>
      </c>
      <c r="J240" t="str">
        <f t="shared" si="3"/>
        <v>No</v>
      </c>
    </row>
    <row r="241" spans="1:10" ht="16" hidden="1" customHeight="1" x14ac:dyDescent="0.2">
      <c r="A241" s="43">
        <v>46291</v>
      </c>
      <c r="B241" s="13" t="s">
        <v>134</v>
      </c>
      <c r="C241" s="13" t="s">
        <v>139</v>
      </c>
      <c r="D241" s="93">
        <v>3</v>
      </c>
      <c r="E241" s="93">
        <v>3</v>
      </c>
      <c r="F241" s="93" t="s">
        <v>347</v>
      </c>
      <c r="G241" s="96">
        <v>10.5</v>
      </c>
      <c r="H241" s="97">
        <v>0.5</v>
      </c>
      <c r="I241" s="93">
        <v>11.34</v>
      </c>
      <c r="J241" t="str">
        <f t="shared" si="3"/>
        <v>Yes</v>
      </c>
    </row>
    <row r="242" spans="1:10" ht="16" hidden="1" customHeight="1" x14ac:dyDescent="0.2">
      <c r="A242" s="43">
        <v>46291</v>
      </c>
      <c r="B242" s="13" t="s">
        <v>134</v>
      </c>
      <c r="C242" s="13" t="s">
        <v>139</v>
      </c>
      <c r="D242" s="93">
        <v>4</v>
      </c>
      <c r="E242" s="93">
        <v>2</v>
      </c>
      <c r="F242" s="93" t="s">
        <v>348</v>
      </c>
      <c r="G242" s="96">
        <v>22</v>
      </c>
      <c r="H242" s="97">
        <v>0.5</v>
      </c>
      <c r="I242" s="93">
        <v>32.65</v>
      </c>
      <c r="J242" t="str">
        <f t="shared" si="3"/>
        <v>Yes</v>
      </c>
    </row>
    <row r="243" spans="1:10" ht="16" hidden="1" customHeight="1" x14ac:dyDescent="0.2">
      <c r="A243" s="43">
        <v>46291</v>
      </c>
      <c r="B243" s="13" t="s">
        <v>134</v>
      </c>
      <c r="C243" s="13" t="s">
        <v>139</v>
      </c>
      <c r="D243" s="93">
        <v>4</v>
      </c>
      <c r="E243" s="93">
        <v>9</v>
      </c>
      <c r="F243" s="93" t="s">
        <v>349</v>
      </c>
      <c r="G243" s="96">
        <v>10.5</v>
      </c>
      <c r="H243" s="97">
        <v>0.5</v>
      </c>
      <c r="I243" s="93">
        <v>10.25</v>
      </c>
      <c r="J243" t="str">
        <f t="shared" si="3"/>
        <v>No</v>
      </c>
    </row>
    <row r="244" spans="1:10" ht="16" hidden="1" customHeight="1" x14ac:dyDescent="0.2">
      <c r="A244" s="43">
        <v>46291</v>
      </c>
      <c r="B244" s="13" t="s">
        <v>134</v>
      </c>
      <c r="C244" s="13" t="s">
        <v>139</v>
      </c>
      <c r="D244" s="93">
        <v>5</v>
      </c>
      <c r="E244" s="93">
        <v>1</v>
      </c>
      <c r="F244" s="93" t="s">
        <v>350</v>
      </c>
      <c r="G244" s="96">
        <v>13.5</v>
      </c>
      <c r="H244" s="97">
        <v>0.5</v>
      </c>
      <c r="I244" s="93">
        <v>28.84</v>
      </c>
      <c r="J244" t="str">
        <f t="shared" si="3"/>
        <v>Yes</v>
      </c>
    </row>
    <row r="245" spans="1:10" ht="16" hidden="1" customHeight="1" x14ac:dyDescent="0.2">
      <c r="A245" s="43">
        <v>46291</v>
      </c>
      <c r="B245" s="13" t="s">
        <v>134</v>
      </c>
      <c r="C245" s="13" t="s">
        <v>139</v>
      </c>
      <c r="D245" s="93">
        <v>5</v>
      </c>
      <c r="E245" s="93">
        <v>8</v>
      </c>
      <c r="F245" s="93" t="s">
        <v>236</v>
      </c>
      <c r="G245" s="96">
        <v>21</v>
      </c>
      <c r="H245" s="97">
        <v>0.5</v>
      </c>
      <c r="I245" s="93">
        <v>34.93</v>
      </c>
      <c r="J245" t="str">
        <f t="shared" si="3"/>
        <v>Yes</v>
      </c>
    </row>
    <row r="246" spans="1:10" ht="16" hidden="1" customHeight="1" x14ac:dyDescent="0.2">
      <c r="A246" s="43">
        <v>46291</v>
      </c>
      <c r="B246" s="13" t="s">
        <v>134</v>
      </c>
      <c r="C246" s="13" t="s">
        <v>139</v>
      </c>
      <c r="D246" s="93">
        <v>5</v>
      </c>
      <c r="E246" s="93">
        <v>11</v>
      </c>
      <c r="F246" s="93" t="s">
        <v>351</v>
      </c>
      <c r="G246" s="96">
        <v>8.4</v>
      </c>
      <c r="H246" s="97">
        <v>0.5</v>
      </c>
      <c r="I246" s="93">
        <v>8.4</v>
      </c>
      <c r="J246" t="str">
        <f t="shared" si="3"/>
        <v>Yes</v>
      </c>
    </row>
    <row r="247" spans="1:10" ht="16" hidden="1" customHeight="1" x14ac:dyDescent="0.2">
      <c r="A247" s="43">
        <v>46291</v>
      </c>
      <c r="B247" s="13" t="s">
        <v>134</v>
      </c>
      <c r="C247" s="13" t="s">
        <v>139</v>
      </c>
      <c r="D247" s="93">
        <v>5</v>
      </c>
      <c r="E247" s="93">
        <v>12</v>
      </c>
      <c r="F247" s="93" t="s">
        <v>352</v>
      </c>
      <c r="G247" s="96">
        <v>26</v>
      </c>
      <c r="H247" s="97">
        <v>0.5</v>
      </c>
      <c r="I247" s="93">
        <v>16</v>
      </c>
      <c r="J247" t="str">
        <f t="shared" si="3"/>
        <v>No</v>
      </c>
    </row>
    <row r="248" spans="1:10" ht="16" hidden="1" customHeight="1" x14ac:dyDescent="0.2">
      <c r="A248" s="43">
        <v>46291</v>
      </c>
      <c r="B248" s="13" t="s">
        <v>134</v>
      </c>
      <c r="C248" s="13" t="s">
        <v>139</v>
      </c>
      <c r="D248" s="93">
        <v>6</v>
      </c>
      <c r="E248" s="93">
        <v>5</v>
      </c>
      <c r="F248" s="93" t="s">
        <v>353</v>
      </c>
      <c r="G248" s="96">
        <v>11.5</v>
      </c>
      <c r="H248" s="97">
        <v>0.5</v>
      </c>
      <c r="I248" s="93">
        <v>11</v>
      </c>
      <c r="J248" t="str">
        <f t="shared" si="3"/>
        <v>No</v>
      </c>
    </row>
    <row r="249" spans="1:10" ht="16" hidden="1" customHeight="1" x14ac:dyDescent="0.2">
      <c r="A249" s="43">
        <v>46291</v>
      </c>
      <c r="B249" s="13" t="s">
        <v>134</v>
      </c>
      <c r="C249" s="13" t="s">
        <v>139</v>
      </c>
      <c r="D249" s="93">
        <v>7</v>
      </c>
      <c r="E249" s="93">
        <v>4</v>
      </c>
      <c r="F249" s="93" t="s">
        <v>249</v>
      </c>
      <c r="G249" s="96">
        <v>6.2</v>
      </c>
      <c r="H249" s="97">
        <v>0.5</v>
      </c>
      <c r="I249" s="93">
        <v>6.2</v>
      </c>
      <c r="J249" t="str">
        <f t="shared" si="3"/>
        <v>Yes</v>
      </c>
    </row>
    <row r="250" spans="1:10" ht="16" hidden="1" customHeight="1" x14ac:dyDescent="0.2">
      <c r="A250" s="43">
        <v>46291</v>
      </c>
      <c r="B250" s="13" t="s">
        <v>134</v>
      </c>
      <c r="C250" s="13" t="s">
        <v>139</v>
      </c>
      <c r="D250" s="93">
        <v>7</v>
      </c>
      <c r="E250" s="93">
        <v>6</v>
      </c>
      <c r="F250" s="93" t="s">
        <v>354</v>
      </c>
      <c r="G250" s="96">
        <v>6.6</v>
      </c>
      <c r="H250" s="97">
        <v>0.5</v>
      </c>
      <c r="I250" s="93">
        <v>5.4</v>
      </c>
      <c r="J250" t="str">
        <f t="shared" si="3"/>
        <v>No</v>
      </c>
    </row>
    <row r="251" spans="1:10" ht="16" hidden="1" customHeight="1" x14ac:dyDescent="0.2">
      <c r="A251" s="43">
        <v>46291</v>
      </c>
      <c r="B251" s="13" t="s">
        <v>134</v>
      </c>
      <c r="C251" s="13" t="s">
        <v>139</v>
      </c>
      <c r="D251" s="93">
        <v>9</v>
      </c>
      <c r="E251" s="93">
        <v>4</v>
      </c>
      <c r="F251" s="93" t="s">
        <v>355</v>
      </c>
      <c r="G251" s="96">
        <v>28</v>
      </c>
      <c r="H251" s="97">
        <v>0.5</v>
      </c>
      <c r="I251" s="93">
        <v>76.319999999999993</v>
      </c>
      <c r="J251" t="str">
        <f t="shared" si="3"/>
        <v>Yes</v>
      </c>
    </row>
    <row r="252" spans="1:10" ht="16" hidden="1" customHeight="1" x14ac:dyDescent="0.2">
      <c r="A252" s="43">
        <v>46291</v>
      </c>
      <c r="B252" s="13" t="s">
        <v>134</v>
      </c>
      <c r="C252" s="13" t="s">
        <v>139</v>
      </c>
      <c r="D252" s="93">
        <v>9</v>
      </c>
      <c r="E252" s="93">
        <v>10</v>
      </c>
      <c r="F252" s="93" t="s">
        <v>356</v>
      </c>
      <c r="G252" s="96">
        <v>20</v>
      </c>
      <c r="H252" s="97">
        <v>0.5</v>
      </c>
      <c r="I252" s="93">
        <v>16.239999999999998</v>
      </c>
      <c r="J252" t="str">
        <f t="shared" si="3"/>
        <v>No</v>
      </c>
    </row>
    <row r="253" spans="1:10" ht="16" hidden="1" customHeight="1" x14ac:dyDescent="0.2">
      <c r="A253" s="43">
        <v>46291</v>
      </c>
      <c r="B253" s="13" t="s">
        <v>134</v>
      </c>
      <c r="C253" s="13" t="s">
        <v>139</v>
      </c>
      <c r="D253" s="93">
        <v>10</v>
      </c>
      <c r="E253" s="93">
        <v>1</v>
      </c>
      <c r="F253" s="93" t="s">
        <v>357</v>
      </c>
      <c r="G253" s="96">
        <v>6.6</v>
      </c>
      <c r="H253" s="97">
        <v>0.5</v>
      </c>
      <c r="I253" s="93">
        <v>6.6</v>
      </c>
      <c r="J253" t="str">
        <f t="shared" si="3"/>
        <v>Yes</v>
      </c>
    </row>
    <row r="254" spans="1:10" ht="16" hidden="1" customHeight="1" x14ac:dyDescent="0.2">
      <c r="A254" s="43">
        <v>46291</v>
      </c>
      <c r="B254" s="13" t="s">
        <v>134</v>
      </c>
      <c r="C254" s="13" t="s">
        <v>139</v>
      </c>
      <c r="D254" s="93">
        <v>10</v>
      </c>
      <c r="E254" s="93">
        <v>4</v>
      </c>
      <c r="F254" s="93" t="s">
        <v>358</v>
      </c>
      <c r="G254" s="96">
        <v>16.5</v>
      </c>
      <c r="H254" s="97">
        <v>0.5</v>
      </c>
      <c r="I254" s="93">
        <v>12.73</v>
      </c>
      <c r="J254" t="str">
        <f t="shared" si="3"/>
        <v>No</v>
      </c>
    </row>
    <row r="255" spans="1:10" ht="16" hidden="1" customHeight="1" x14ac:dyDescent="0.2">
      <c r="A255" s="43">
        <v>46291</v>
      </c>
      <c r="B255" s="13" t="s">
        <v>134</v>
      </c>
      <c r="C255" s="13" t="s">
        <v>139</v>
      </c>
      <c r="D255" s="93">
        <v>10</v>
      </c>
      <c r="E255" s="93">
        <v>8</v>
      </c>
      <c r="F255" s="93" t="s">
        <v>359</v>
      </c>
      <c r="G255" s="96">
        <v>16</v>
      </c>
      <c r="H255" s="97">
        <v>0.5</v>
      </c>
      <c r="I255" s="93">
        <v>15.22</v>
      </c>
      <c r="J255" t="str">
        <f t="shared" si="3"/>
        <v>No</v>
      </c>
    </row>
    <row r="256" spans="1:10" ht="16" hidden="1" customHeight="1" x14ac:dyDescent="0.2">
      <c r="A256" s="43">
        <v>46291</v>
      </c>
      <c r="B256" s="13" t="s">
        <v>134</v>
      </c>
      <c r="C256" s="13" t="s">
        <v>139</v>
      </c>
      <c r="D256" s="93">
        <v>10</v>
      </c>
      <c r="E256" s="93">
        <v>17</v>
      </c>
      <c r="F256" s="93" t="s">
        <v>360</v>
      </c>
      <c r="G256" s="96">
        <v>18.5</v>
      </c>
      <c r="H256" s="97">
        <v>0.5</v>
      </c>
      <c r="I256" s="93">
        <v>18.5</v>
      </c>
      <c r="J256" t="str">
        <f t="shared" si="3"/>
        <v>Yes</v>
      </c>
    </row>
    <row r="257" spans="1:11" ht="16" hidden="1" customHeight="1" x14ac:dyDescent="0.2">
      <c r="A257" s="43">
        <v>46295</v>
      </c>
      <c r="B257" s="13" t="s">
        <v>142</v>
      </c>
      <c r="C257" s="13" t="s">
        <v>140</v>
      </c>
      <c r="D257" s="93">
        <v>1</v>
      </c>
      <c r="E257" s="93">
        <v>7</v>
      </c>
      <c r="F257" s="93" t="s">
        <v>361</v>
      </c>
      <c r="G257" s="96">
        <v>15</v>
      </c>
      <c r="H257" s="103">
        <v>0.5</v>
      </c>
      <c r="I257" s="93">
        <v>15</v>
      </c>
      <c r="J257" t="str">
        <f t="shared" si="3"/>
        <v>Yes</v>
      </c>
      <c r="K257" t="s">
        <v>4</v>
      </c>
    </row>
    <row r="258" spans="1:11" ht="16" hidden="1" customHeight="1" x14ac:dyDescent="0.2">
      <c r="A258" s="43">
        <v>46295</v>
      </c>
      <c r="B258" s="13" t="s">
        <v>142</v>
      </c>
      <c r="C258" s="13" t="s">
        <v>140</v>
      </c>
      <c r="D258" s="93">
        <v>1</v>
      </c>
      <c r="E258" s="93">
        <v>7</v>
      </c>
      <c r="F258" s="93" t="s">
        <v>361</v>
      </c>
      <c r="G258" s="96">
        <v>3.95</v>
      </c>
      <c r="H258" s="103">
        <v>0.2</v>
      </c>
      <c r="I258" s="93">
        <v>3.55</v>
      </c>
      <c r="J258" t="str">
        <f t="shared" ref="J258:J321" si="4">IF(I258&gt;=G258,"Yes","No")</f>
        <v>No</v>
      </c>
      <c r="K258" t="s">
        <v>89</v>
      </c>
    </row>
    <row r="259" spans="1:11" ht="16" hidden="1" customHeight="1" x14ac:dyDescent="0.2">
      <c r="A259" s="43">
        <v>46295</v>
      </c>
      <c r="B259" s="13" t="s">
        <v>142</v>
      </c>
      <c r="C259" s="13" t="s">
        <v>140</v>
      </c>
      <c r="D259" s="93">
        <v>1</v>
      </c>
      <c r="E259" s="93">
        <v>8</v>
      </c>
      <c r="F259" s="93" t="s">
        <v>362</v>
      </c>
      <c r="G259" s="96">
        <v>10.5</v>
      </c>
      <c r="H259" s="103">
        <v>0.5</v>
      </c>
      <c r="I259" s="93">
        <v>11.63</v>
      </c>
      <c r="J259" t="str">
        <f t="shared" si="4"/>
        <v>Yes</v>
      </c>
      <c r="K259" t="s">
        <v>4</v>
      </c>
    </row>
    <row r="260" spans="1:11" ht="16" hidden="1" customHeight="1" x14ac:dyDescent="0.2">
      <c r="A260" s="43">
        <v>46295</v>
      </c>
      <c r="B260" s="13" t="s">
        <v>142</v>
      </c>
      <c r="C260" s="13" t="s">
        <v>140</v>
      </c>
      <c r="D260" s="93">
        <v>1</v>
      </c>
      <c r="E260" s="93">
        <v>8</v>
      </c>
      <c r="F260" s="93" t="s">
        <v>362</v>
      </c>
      <c r="G260" s="96">
        <v>2.82</v>
      </c>
      <c r="H260" s="103">
        <v>0.2</v>
      </c>
      <c r="I260" s="93">
        <v>2.82</v>
      </c>
      <c r="J260" t="str">
        <f t="shared" si="4"/>
        <v>Yes</v>
      </c>
      <c r="K260" t="s">
        <v>89</v>
      </c>
    </row>
    <row r="261" spans="1:11" ht="16" hidden="1" customHeight="1" x14ac:dyDescent="0.2">
      <c r="A261" s="43">
        <v>46295</v>
      </c>
      <c r="B261" s="13" t="s">
        <v>142</v>
      </c>
      <c r="C261" s="13" t="s">
        <v>140</v>
      </c>
      <c r="D261" s="93">
        <v>2</v>
      </c>
      <c r="E261" s="93">
        <v>2</v>
      </c>
      <c r="F261" s="93" t="s">
        <v>363</v>
      </c>
      <c r="G261" s="96">
        <v>25</v>
      </c>
      <c r="H261" s="103">
        <v>0.5</v>
      </c>
      <c r="I261" s="93">
        <v>22.6</v>
      </c>
      <c r="J261" t="str">
        <f t="shared" si="4"/>
        <v>No</v>
      </c>
      <c r="K261" t="s">
        <v>4</v>
      </c>
    </row>
    <row r="262" spans="1:11" ht="16" hidden="1" customHeight="1" x14ac:dyDescent="0.2">
      <c r="A262" s="43">
        <v>46295</v>
      </c>
      <c r="B262" s="13" t="s">
        <v>142</v>
      </c>
      <c r="C262" s="13" t="s">
        <v>140</v>
      </c>
      <c r="D262" s="93">
        <v>2</v>
      </c>
      <c r="E262" s="93">
        <v>6</v>
      </c>
      <c r="F262" s="93" t="s">
        <v>364</v>
      </c>
      <c r="G262" s="96">
        <v>13</v>
      </c>
      <c r="H262" s="103">
        <v>0.5</v>
      </c>
      <c r="I262" s="93">
        <v>13.42</v>
      </c>
      <c r="J262" t="str">
        <f t="shared" si="4"/>
        <v>Yes</v>
      </c>
      <c r="K262" t="s">
        <v>4</v>
      </c>
    </row>
    <row r="263" spans="1:11" ht="16" hidden="1" customHeight="1" x14ac:dyDescent="0.2">
      <c r="A263" s="43">
        <v>46295</v>
      </c>
      <c r="B263" s="13" t="s">
        <v>142</v>
      </c>
      <c r="C263" s="13" t="s">
        <v>140</v>
      </c>
      <c r="D263" s="93">
        <v>2</v>
      </c>
      <c r="E263" s="93">
        <v>6</v>
      </c>
      <c r="F263" s="93" t="s">
        <v>364</v>
      </c>
      <c r="G263" s="96">
        <v>5.9</v>
      </c>
      <c r="H263" s="103">
        <v>0.2</v>
      </c>
      <c r="I263" s="93">
        <v>5.6</v>
      </c>
      <c r="J263" t="str">
        <f t="shared" si="4"/>
        <v>No</v>
      </c>
      <c r="K263" t="s">
        <v>89</v>
      </c>
    </row>
    <row r="264" spans="1:11" ht="16" hidden="1" customHeight="1" x14ac:dyDescent="0.2">
      <c r="A264" s="43">
        <v>46295</v>
      </c>
      <c r="B264" s="13" t="s">
        <v>142</v>
      </c>
      <c r="C264" s="13" t="s">
        <v>140</v>
      </c>
      <c r="D264" s="93">
        <v>3</v>
      </c>
      <c r="E264" s="93">
        <v>2</v>
      </c>
      <c r="F264" s="93" t="s">
        <v>365</v>
      </c>
      <c r="G264" s="96">
        <v>9</v>
      </c>
      <c r="H264" s="103">
        <v>0.5</v>
      </c>
      <c r="I264" s="93">
        <v>23</v>
      </c>
      <c r="J264" t="str">
        <f t="shared" si="4"/>
        <v>Yes</v>
      </c>
      <c r="K264" t="s">
        <v>4</v>
      </c>
    </row>
    <row r="265" spans="1:11" ht="16" hidden="1" customHeight="1" x14ac:dyDescent="0.2">
      <c r="A265" s="43">
        <v>46295</v>
      </c>
      <c r="B265" s="13" t="s">
        <v>142</v>
      </c>
      <c r="C265" s="13" t="s">
        <v>140</v>
      </c>
      <c r="D265" s="93">
        <v>3</v>
      </c>
      <c r="E265" s="93">
        <v>2</v>
      </c>
      <c r="F265" s="93" t="s">
        <v>365</v>
      </c>
      <c r="G265" s="96">
        <v>2.06</v>
      </c>
      <c r="H265" s="103">
        <v>0.2</v>
      </c>
      <c r="I265" s="93">
        <v>3</v>
      </c>
      <c r="J265" t="str">
        <f t="shared" si="4"/>
        <v>Yes</v>
      </c>
      <c r="K265" t="s">
        <v>89</v>
      </c>
    </row>
    <row r="266" spans="1:11" ht="16" hidden="1" customHeight="1" x14ac:dyDescent="0.2">
      <c r="A266" s="43">
        <v>46295</v>
      </c>
      <c r="B266" s="13" t="s">
        <v>142</v>
      </c>
      <c r="C266" s="13" t="s">
        <v>140</v>
      </c>
      <c r="D266" s="93">
        <v>3</v>
      </c>
      <c r="E266" s="93">
        <v>7</v>
      </c>
      <c r="F266" s="93" t="s">
        <v>366</v>
      </c>
      <c r="G266" s="96">
        <v>15</v>
      </c>
      <c r="H266" s="103">
        <v>0.5</v>
      </c>
      <c r="I266" s="93">
        <v>14.5</v>
      </c>
      <c r="J266" t="str">
        <f t="shared" si="4"/>
        <v>No</v>
      </c>
      <c r="K266" t="s">
        <v>4</v>
      </c>
    </row>
    <row r="267" spans="1:11" ht="16" hidden="1" customHeight="1" x14ac:dyDescent="0.2">
      <c r="A267" s="43">
        <v>46295</v>
      </c>
      <c r="B267" s="13" t="s">
        <v>142</v>
      </c>
      <c r="C267" s="13" t="s">
        <v>140</v>
      </c>
      <c r="D267" s="93">
        <v>3</v>
      </c>
      <c r="E267" s="93">
        <v>7</v>
      </c>
      <c r="F267" s="93" t="s">
        <v>366</v>
      </c>
      <c r="G267" s="96">
        <v>3.4</v>
      </c>
      <c r="H267" s="103">
        <v>0.2</v>
      </c>
      <c r="I267" s="93">
        <v>2.46</v>
      </c>
      <c r="J267" t="str">
        <f t="shared" si="4"/>
        <v>No</v>
      </c>
      <c r="K267" t="s">
        <v>89</v>
      </c>
    </row>
    <row r="268" spans="1:11" ht="16" hidden="1" customHeight="1" x14ac:dyDescent="0.2">
      <c r="A268" s="43">
        <v>46295</v>
      </c>
      <c r="B268" s="13" t="s">
        <v>134</v>
      </c>
      <c r="C268" s="13" t="s">
        <v>139</v>
      </c>
      <c r="D268" s="93">
        <v>3</v>
      </c>
      <c r="E268" s="93">
        <v>3</v>
      </c>
      <c r="F268" s="93" t="s">
        <v>367</v>
      </c>
      <c r="G268" s="96">
        <v>14</v>
      </c>
      <c r="H268" s="103">
        <v>0.5</v>
      </c>
      <c r="I268" s="93">
        <v>15.46</v>
      </c>
      <c r="J268" t="str">
        <f t="shared" si="4"/>
        <v>Yes</v>
      </c>
      <c r="K268" t="s">
        <v>4</v>
      </c>
    </row>
    <row r="269" spans="1:11" ht="16" hidden="1" customHeight="1" x14ac:dyDescent="0.2">
      <c r="A269" s="43">
        <v>46295</v>
      </c>
      <c r="B269" s="13" t="s">
        <v>134</v>
      </c>
      <c r="C269" s="13" t="s">
        <v>139</v>
      </c>
      <c r="D269" s="93">
        <v>3</v>
      </c>
      <c r="E269" s="93">
        <v>4</v>
      </c>
      <c r="F269" s="93" t="s">
        <v>368</v>
      </c>
      <c r="G269" s="96">
        <v>16.5</v>
      </c>
      <c r="H269" s="103">
        <v>0.5</v>
      </c>
      <c r="I269" s="93">
        <v>12.74</v>
      </c>
      <c r="J269" t="str">
        <f t="shared" si="4"/>
        <v>No</v>
      </c>
      <c r="K269" t="s">
        <v>4</v>
      </c>
    </row>
    <row r="270" spans="1:11" ht="16" hidden="1" customHeight="1" x14ac:dyDescent="0.2">
      <c r="A270" s="43">
        <v>46295</v>
      </c>
      <c r="B270" s="13" t="s">
        <v>142</v>
      </c>
      <c r="C270" s="13" t="s">
        <v>140</v>
      </c>
      <c r="D270" s="93">
        <v>5</v>
      </c>
      <c r="E270" s="93">
        <v>1</v>
      </c>
      <c r="F270" s="93" t="s">
        <v>369</v>
      </c>
      <c r="G270" s="96">
        <v>19</v>
      </c>
      <c r="H270" s="103">
        <v>0.5</v>
      </c>
      <c r="I270" s="93">
        <v>26.71</v>
      </c>
      <c r="J270" t="str">
        <f t="shared" si="4"/>
        <v>Yes</v>
      </c>
      <c r="K270" t="s">
        <v>4</v>
      </c>
    </row>
    <row r="271" spans="1:11" ht="16" hidden="1" customHeight="1" x14ac:dyDescent="0.2">
      <c r="A271" s="43">
        <v>46295</v>
      </c>
      <c r="B271" s="13" t="s">
        <v>142</v>
      </c>
      <c r="C271" s="13" t="s">
        <v>140</v>
      </c>
      <c r="D271" s="93">
        <v>5</v>
      </c>
      <c r="E271" s="93">
        <v>1</v>
      </c>
      <c r="F271" s="93" t="s">
        <v>369</v>
      </c>
      <c r="G271" s="96">
        <v>5.3</v>
      </c>
      <c r="H271" s="103">
        <v>0.2</v>
      </c>
      <c r="I271" s="93">
        <v>4.6900000000000004</v>
      </c>
      <c r="J271" t="str">
        <f t="shared" si="4"/>
        <v>No</v>
      </c>
      <c r="K271" t="s">
        <v>89</v>
      </c>
    </row>
    <row r="272" spans="1:11" ht="16" hidden="1" customHeight="1" x14ac:dyDescent="0.2">
      <c r="A272" s="43">
        <v>46295</v>
      </c>
      <c r="B272" s="13" t="s">
        <v>142</v>
      </c>
      <c r="C272" s="13" t="s">
        <v>140</v>
      </c>
      <c r="D272" s="93">
        <v>5</v>
      </c>
      <c r="E272" s="93">
        <v>6</v>
      </c>
      <c r="F272" s="93" t="s">
        <v>370</v>
      </c>
      <c r="G272" s="96">
        <v>9.8000000000000007</v>
      </c>
      <c r="H272" s="103">
        <v>0.5</v>
      </c>
      <c r="I272" s="93">
        <v>9.26</v>
      </c>
      <c r="J272" t="str">
        <f t="shared" si="4"/>
        <v>No</v>
      </c>
      <c r="K272" t="s">
        <v>4</v>
      </c>
    </row>
    <row r="273" spans="1:11" ht="16" hidden="1" customHeight="1" x14ac:dyDescent="0.2">
      <c r="A273" s="43">
        <v>46295</v>
      </c>
      <c r="B273" s="13" t="s">
        <v>142</v>
      </c>
      <c r="C273" s="13" t="s">
        <v>140</v>
      </c>
      <c r="D273" s="93">
        <v>5</v>
      </c>
      <c r="E273" s="93">
        <v>6</v>
      </c>
      <c r="F273" s="93" t="s">
        <v>370</v>
      </c>
      <c r="G273" s="96">
        <v>2.84</v>
      </c>
      <c r="H273" s="103">
        <v>0.2</v>
      </c>
      <c r="I273" s="93">
        <v>2.29</v>
      </c>
      <c r="J273" t="str">
        <f t="shared" si="4"/>
        <v>No</v>
      </c>
      <c r="K273" t="s">
        <v>89</v>
      </c>
    </row>
    <row r="274" spans="1:11" ht="16" hidden="1" customHeight="1" x14ac:dyDescent="0.2">
      <c r="A274" s="43">
        <v>46295</v>
      </c>
      <c r="B274" s="13" t="s">
        <v>134</v>
      </c>
      <c r="C274" s="13" t="s">
        <v>139</v>
      </c>
      <c r="D274" s="93">
        <v>5</v>
      </c>
      <c r="E274" s="93">
        <v>1</v>
      </c>
      <c r="F274" s="93" t="s">
        <v>371</v>
      </c>
      <c r="G274" s="96">
        <v>18.5</v>
      </c>
      <c r="H274" s="103">
        <v>0.5</v>
      </c>
      <c r="I274" s="93">
        <v>18.5</v>
      </c>
      <c r="J274" t="str">
        <f t="shared" si="4"/>
        <v>Yes</v>
      </c>
      <c r="K274" t="s">
        <v>4</v>
      </c>
    </row>
    <row r="275" spans="1:11" ht="16" hidden="1" customHeight="1" x14ac:dyDescent="0.2">
      <c r="A275" s="43">
        <v>46295</v>
      </c>
      <c r="B275" s="13" t="s">
        <v>134</v>
      </c>
      <c r="C275" s="13" t="s">
        <v>139</v>
      </c>
      <c r="D275" s="93">
        <v>5</v>
      </c>
      <c r="E275" s="93">
        <v>5</v>
      </c>
      <c r="F275" s="93" t="s">
        <v>372</v>
      </c>
      <c r="G275" s="96">
        <v>12.5</v>
      </c>
      <c r="H275" s="103">
        <v>0.5</v>
      </c>
      <c r="I275" s="93">
        <v>12.5</v>
      </c>
      <c r="J275" t="str">
        <f t="shared" si="4"/>
        <v>Yes</v>
      </c>
      <c r="K275" t="s">
        <v>4</v>
      </c>
    </row>
    <row r="276" spans="1:11" ht="16" hidden="1" customHeight="1" x14ac:dyDescent="0.2">
      <c r="A276" s="43">
        <v>46295</v>
      </c>
      <c r="B276" s="13" t="s">
        <v>134</v>
      </c>
      <c r="C276" s="13" t="s">
        <v>139</v>
      </c>
      <c r="D276" s="93">
        <v>5</v>
      </c>
      <c r="E276" s="93">
        <v>10</v>
      </c>
      <c r="F276" s="93" t="s">
        <v>287</v>
      </c>
      <c r="G276" s="96">
        <v>12</v>
      </c>
      <c r="H276" s="103">
        <v>0.5</v>
      </c>
      <c r="I276" s="93">
        <v>11.5</v>
      </c>
      <c r="J276" t="str">
        <f t="shared" si="4"/>
        <v>No</v>
      </c>
      <c r="K276" t="s">
        <v>4</v>
      </c>
    </row>
    <row r="277" spans="1:11" ht="16" hidden="1" customHeight="1" x14ac:dyDescent="0.2">
      <c r="A277" s="43">
        <v>46295</v>
      </c>
      <c r="B277" s="13" t="s">
        <v>142</v>
      </c>
      <c r="C277" s="13" t="s">
        <v>140</v>
      </c>
      <c r="D277" s="93">
        <v>6</v>
      </c>
      <c r="E277" s="93">
        <v>8</v>
      </c>
      <c r="F277" s="93" t="s">
        <v>373</v>
      </c>
      <c r="G277" s="96">
        <v>20</v>
      </c>
      <c r="H277" s="103">
        <v>0.5</v>
      </c>
      <c r="I277" s="93">
        <v>18.149999999999999</v>
      </c>
      <c r="J277" t="str">
        <f t="shared" si="4"/>
        <v>No</v>
      </c>
      <c r="K277" t="s">
        <v>4</v>
      </c>
    </row>
    <row r="278" spans="1:11" ht="16" hidden="1" customHeight="1" x14ac:dyDescent="0.2">
      <c r="A278" s="43">
        <v>46295</v>
      </c>
      <c r="B278" s="13" t="s">
        <v>142</v>
      </c>
      <c r="C278" s="13" t="s">
        <v>140</v>
      </c>
      <c r="D278" s="93">
        <v>6</v>
      </c>
      <c r="E278" s="93">
        <v>8</v>
      </c>
      <c r="F278" s="93" t="s">
        <v>373</v>
      </c>
      <c r="G278" s="96">
        <v>5.7</v>
      </c>
      <c r="H278" s="103">
        <v>0.2</v>
      </c>
      <c r="I278" s="93">
        <v>4.97</v>
      </c>
      <c r="J278" t="str">
        <f t="shared" si="4"/>
        <v>No</v>
      </c>
      <c r="K278" t="s">
        <v>89</v>
      </c>
    </row>
    <row r="279" spans="1:11" ht="16" hidden="1" customHeight="1" x14ac:dyDescent="0.2">
      <c r="A279" s="43">
        <v>46295</v>
      </c>
      <c r="B279" s="13" t="s">
        <v>134</v>
      </c>
      <c r="C279" s="13" t="s">
        <v>139</v>
      </c>
      <c r="D279" s="93">
        <v>6</v>
      </c>
      <c r="E279" s="93">
        <v>12</v>
      </c>
      <c r="F279" s="93" t="s">
        <v>374</v>
      </c>
      <c r="G279" s="96">
        <v>12.5</v>
      </c>
      <c r="H279" s="103">
        <v>0.5</v>
      </c>
      <c r="I279" s="93">
        <v>13.18</v>
      </c>
      <c r="J279" t="str">
        <f t="shared" si="4"/>
        <v>Yes</v>
      </c>
      <c r="K279" t="s">
        <v>4</v>
      </c>
    </row>
    <row r="280" spans="1:11" ht="16" hidden="1" customHeight="1" x14ac:dyDescent="0.2">
      <c r="A280" s="43">
        <v>46295</v>
      </c>
      <c r="B280" s="13" t="s">
        <v>142</v>
      </c>
      <c r="C280" s="13" t="s">
        <v>140</v>
      </c>
      <c r="D280" s="93">
        <v>7</v>
      </c>
      <c r="E280" s="93">
        <v>8</v>
      </c>
      <c r="F280" s="93" t="s">
        <v>323</v>
      </c>
      <c r="G280" s="96">
        <v>23</v>
      </c>
      <c r="H280" s="103">
        <v>0.5</v>
      </c>
      <c r="I280" s="93">
        <v>25</v>
      </c>
      <c r="J280" t="str">
        <f t="shared" si="4"/>
        <v>Yes</v>
      </c>
      <c r="K280" t="s">
        <v>4</v>
      </c>
    </row>
    <row r="281" spans="1:11" ht="16" hidden="1" customHeight="1" x14ac:dyDescent="0.2">
      <c r="A281" s="43">
        <v>46295</v>
      </c>
      <c r="B281" s="13" t="s">
        <v>142</v>
      </c>
      <c r="C281" s="13" t="s">
        <v>140</v>
      </c>
      <c r="D281" s="93">
        <v>7</v>
      </c>
      <c r="E281" s="93">
        <v>8</v>
      </c>
      <c r="F281" s="93" t="s">
        <v>323</v>
      </c>
      <c r="G281" s="96">
        <v>6.6</v>
      </c>
      <c r="H281" s="103">
        <v>0.2</v>
      </c>
      <c r="I281" s="93">
        <v>5.4</v>
      </c>
      <c r="J281" t="str">
        <f t="shared" si="4"/>
        <v>No</v>
      </c>
      <c r="K281" t="s">
        <v>89</v>
      </c>
    </row>
    <row r="282" spans="1:11" ht="16" hidden="1" customHeight="1" x14ac:dyDescent="0.2">
      <c r="A282" s="43">
        <v>46295</v>
      </c>
      <c r="B282" s="13" t="s">
        <v>142</v>
      </c>
      <c r="C282" s="13" t="s">
        <v>140</v>
      </c>
      <c r="D282" s="93">
        <v>7</v>
      </c>
      <c r="E282" s="93">
        <v>11</v>
      </c>
      <c r="F282" s="93" t="s">
        <v>375</v>
      </c>
      <c r="G282" s="96">
        <v>12.5</v>
      </c>
      <c r="H282" s="103">
        <v>0.5</v>
      </c>
      <c r="I282" s="93">
        <v>12</v>
      </c>
      <c r="J282" t="str">
        <f t="shared" si="4"/>
        <v>No</v>
      </c>
      <c r="K282" t="s">
        <v>4</v>
      </c>
    </row>
    <row r="283" spans="1:11" ht="16" hidden="1" customHeight="1" x14ac:dyDescent="0.2">
      <c r="A283" s="43">
        <v>46295</v>
      </c>
      <c r="B283" s="13" t="s">
        <v>142</v>
      </c>
      <c r="C283" s="13" t="s">
        <v>140</v>
      </c>
      <c r="D283" s="93">
        <v>7</v>
      </c>
      <c r="E283" s="93">
        <v>11</v>
      </c>
      <c r="F283" s="93" t="s">
        <v>375</v>
      </c>
      <c r="G283" s="96">
        <v>3.75</v>
      </c>
      <c r="H283" s="103">
        <v>0.2</v>
      </c>
      <c r="I283" s="93">
        <v>2.9</v>
      </c>
      <c r="J283" t="str">
        <f t="shared" si="4"/>
        <v>No</v>
      </c>
      <c r="K283" t="s">
        <v>89</v>
      </c>
    </row>
    <row r="284" spans="1:11" ht="16" hidden="1" customHeight="1" x14ac:dyDescent="0.2">
      <c r="A284" s="43">
        <v>46295</v>
      </c>
      <c r="B284" s="13" t="s">
        <v>134</v>
      </c>
      <c r="C284" s="13" t="s">
        <v>139</v>
      </c>
      <c r="D284" s="93">
        <v>7</v>
      </c>
      <c r="E284" s="93">
        <v>9</v>
      </c>
      <c r="F284" s="93" t="s">
        <v>376</v>
      </c>
      <c r="G284" s="96">
        <v>11</v>
      </c>
      <c r="H284" s="103">
        <v>0.5</v>
      </c>
      <c r="I284" s="93">
        <v>7.2</v>
      </c>
      <c r="J284" t="str">
        <f t="shared" si="4"/>
        <v>No</v>
      </c>
      <c r="K284" t="s">
        <v>4</v>
      </c>
    </row>
    <row r="285" spans="1:11" ht="16" hidden="1" customHeight="1" x14ac:dyDescent="0.2">
      <c r="A285" s="43">
        <v>46295</v>
      </c>
      <c r="B285" s="13" t="s">
        <v>134</v>
      </c>
      <c r="C285" s="13" t="s">
        <v>139</v>
      </c>
      <c r="D285" s="93">
        <v>7</v>
      </c>
      <c r="E285" s="93">
        <v>11</v>
      </c>
      <c r="F285" s="93" t="s">
        <v>377</v>
      </c>
      <c r="G285" s="96">
        <v>25</v>
      </c>
      <c r="H285" s="103">
        <v>0.5</v>
      </c>
      <c r="I285" s="93">
        <v>13</v>
      </c>
      <c r="J285" t="str">
        <f t="shared" si="4"/>
        <v>No</v>
      </c>
      <c r="K285" t="s">
        <v>4</v>
      </c>
    </row>
    <row r="286" spans="1:11" ht="16" hidden="1" customHeight="1" x14ac:dyDescent="0.2">
      <c r="A286" s="43">
        <v>46298</v>
      </c>
      <c r="B286" s="13" t="s">
        <v>134</v>
      </c>
      <c r="C286" s="13" t="s">
        <v>138</v>
      </c>
      <c r="D286" s="93">
        <v>1</v>
      </c>
      <c r="E286" s="93">
        <v>6</v>
      </c>
      <c r="F286" s="93" t="s">
        <v>378</v>
      </c>
      <c r="G286" s="96">
        <v>28</v>
      </c>
      <c r="H286" s="103">
        <v>0.5</v>
      </c>
      <c r="I286" s="93">
        <v>43.63</v>
      </c>
      <c r="J286" t="str">
        <f t="shared" si="4"/>
        <v>Yes</v>
      </c>
      <c r="K286" t="s">
        <v>4</v>
      </c>
    </row>
    <row r="287" spans="1:11" ht="16" hidden="1" customHeight="1" x14ac:dyDescent="0.2">
      <c r="A287" s="43">
        <v>46298</v>
      </c>
      <c r="B287" s="13" t="s">
        <v>142</v>
      </c>
      <c r="C287" s="13" t="s">
        <v>141</v>
      </c>
      <c r="D287" s="93">
        <v>2</v>
      </c>
      <c r="E287" s="93">
        <v>4</v>
      </c>
      <c r="F287" s="93" t="s">
        <v>379</v>
      </c>
      <c r="G287" s="96">
        <v>25</v>
      </c>
      <c r="H287" s="103">
        <v>0.5</v>
      </c>
      <c r="I287" s="93">
        <v>32.01</v>
      </c>
      <c r="J287" t="str">
        <f t="shared" si="4"/>
        <v>Yes</v>
      </c>
      <c r="K287" t="s">
        <v>4</v>
      </c>
    </row>
    <row r="288" spans="1:11" ht="16" hidden="1" customHeight="1" x14ac:dyDescent="0.2">
      <c r="A288" s="43">
        <v>46298</v>
      </c>
      <c r="B288" s="13" t="s">
        <v>142</v>
      </c>
      <c r="C288" s="13" t="s">
        <v>141</v>
      </c>
      <c r="D288" s="93">
        <v>2</v>
      </c>
      <c r="E288" s="93">
        <v>4</v>
      </c>
      <c r="F288" s="93" t="s">
        <v>379</v>
      </c>
      <c r="G288" s="96">
        <v>7</v>
      </c>
      <c r="H288" s="103">
        <v>0.2</v>
      </c>
      <c r="I288" s="93">
        <v>7</v>
      </c>
      <c r="J288" t="str">
        <f t="shared" si="4"/>
        <v>Yes</v>
      </c>
      <c r="K288" t="s">
        <v>89</v>
      </c>
    </row>
    <row r="289" spans="1:11" ht="16" hidden="1" customHeight="1" x14ac:dyDescent="0.2">
      <c r="A289" s="43">
        <v>46298</v>
      </c>
      <c r="B289" s="13" t="s">
        <v>142</v>
      </c>
      <c r="C289" s="13" t="s">
        <v>141</v>
      </c>
      <c r="D289" s="93">
        <v>2</v>
      </c>
      <c r="E289" s="93">
        <v>5</v>
      </c>
      <c r="F289" s="93" t="s">
        <v>380</v>
      </c>
      <c r="G289" s="96">
        <v>8</v>
      </c>
      <c r="H289" s="103">
        <v>0.5</v>
      </c>
      <c r="I289" s="93">
        <v>9.48</v>
      </c>
      <c r="J289" t="str">
        <f t="shared" si="4"/>
        <v>Yes</v>
      </c>
      <c r="K289" t="s">
        <v>4</v>
      </c>
    </row>
    <row r="290" spans="1:11" ht="16" hidden="1" customHeight="1" x14ac:dyDescent="0.2">
      <c r="A290" s="43">
        <v>46298</v>
      </c>
      <c r="B290" s="13" t="s">
        <v>142</v>
      </c>
      <c r="C290" s="13" t="s">
        <v>141</v>
      </c>
      <c r="D290" s="93">
        <v>2</v>
      </c>
      <c r="E290" s="93">
        <v>5</v>
      </c>
      <c r="F290" s="93" t="s">
        <v>380</v>
      </c>
      <c r="G290" s="96">
        <v>2.42</v>
      </c>
      <c r="H290" s="103">
        <v>0.2</v>
      </c>
      <c r="I290" s="93">
        <v>2.42</v>
      </c>
      <c r="J290" t="str">
        <f t="shared" si="4"/>
        <v>Yes</v>
      </c>
      <c r="K290" t="s">
        <v>89</v>
      </c>
    </row>
    <row r="291" spans="1:11" ht="16" hidden="1" customHeight="1" x14ac:dyDescent="0.2">
      <c r="A291" s="43">
        <v>46298</v>
      </c>
      <c r="B291" s="13" t="s">
        <v>142</v>
      </c>
      <c r="C291" s="13" t="s">
        <v>141</v>
      </c>
      <c r="D291" s="93">
        <v>2</v>
      </c>
      <c r="E291" s="93">
        <v>8</v>
      </c>
      <c r="F291" s="93" t="s">
        <v>381</v>
      </c>
      <c r="G291" s="96">
        <v>19</v>
      </c>
      <c r="H291" s="103">
        <v>0.5</v>
      </c>
      <c r="I291" s="93">
        <v>17.39</v>
      </c>
      <c r="J291" t="str">
        <f t="shared" si="4"/>
        <v>No</v>
      </c>
      <c r="K291" t="s">
        <v>4</v>
      </c>
    </row>
    <row r="292" spans="1:11" ht="16" hidden="1" customHeight="1" x14ac:dyDescent="0.2">
      <c r="A292" s="43">
        <v>46298</v>
      </c>
      <c r="B292" s="13" t="s">
        <v>142</v>
      </c>
      <c r="C292" s="13" t="s">
        <v>141</v>
      </c>
      <c r="D292" s="93">
        <v>2</v>
      </c>
      <c r="E292" s="93">
        <v>8</v>
      </c>
      <c r="F292" s="93" t="s">
        <v>381</v>
      </c>
      <c r="G292" s="96">
        <v>5.2</v>
      </c>
      <c r="H292" s="103">
        <v>0.2</v>
      </c>
      <c r="I292" s="93">
        <v>3.6</v>
      </c>
      <c r="J292" t="str">
        <f t="shared" si="4"/>
        <v>No</v>
      </c>
      <c r="K292" t="s">
        <v>89</v>
      </c>
    </row>
    <row r="293" spans="1:11" ht="16" hidden="1" customHeight="1" x14ac:dyDescent="0.2">
      <c r="A293" s="43">
        <v>46298</v>
      </c>
      <c r="B293" s="13" t="s">
        <v>142</v>
      </c>
      <c r="C293" s="13" t="s">
        <v>141</v>
      </c>
      <c r="D293" s="93">
        <v>3</v>
      </c>
      <c r="E293" s="93">
        <v>2</v>
      </c>
      <c r="F293" s="93" t="s">
        <v>382</v>
      </c>
      <c r="G293" s="96">
        <v>9</v>
      </c>
      <c r="H293" s="103">
        <v>0.5</v>
      </c>
      <c r="I293" s="93">
        <v>9.4</v>
      </c>
      <c r="J293" t="str">
        <f t="shared" si="4"/>
        <v>Yes</v>
      </c>
      <c r="K293" t="s">
        <v>4</v>
      </c>
    </row>
    <row r="294" spans="1:11" ht="16" hidden="1" customHeight="1" x14ac:dyDescent="0.2">
      <c r="A294" s="43">
        <v>46298</v>
      </c>
      <c r="B294" s="13" t="s">
        <v>142</v>
      </c>
      <c r="C294" s="13" t="s">
        <v>141</v>
      </c>
      <c r="D294" s="93">
        <v>3</v>
      </c>
      <c r="E294" s="93">
        <v>2</v>
      </c>
      <c r="F294" s="93" t="s">
        <v>382</v>
      </c>
      <c r="G294" s="96">
        <v>2.44</v>
      </c>
      <c r="H294" s="103">
        <v>0.2</v>
      </c>
      <c r="I294" s="93">
        <v>2.3199999999999998</v>
      </c>
      <c r="J294" t="str">
        <f t="shared" si="4"/>
        <v>No</v>
      </c>
      <c r="K294" t="s">
        <v>89</v>
      </c>
    </row>
    <row r="295" spans="1:11" ht="16" hidden="1" customHeight="1" x14ac:dyDescent="0.2">
      <c r="A295" s="43">
        <v>46298</v>
      </c>
      <c r="B295" s="13" t="s">
        <v>142</v>
      </c>
      <c r="C295" s="13" t="s">
        <v>141</v>
      </c>
      <c r="D295" s="93">
        <v>3</v>
      </c>
      <c r="E295" s="93">
        <v>4</v>
      </c>
      <c r="F295" s="93" t="s">
        <v>383</v>
      </c>
      <c r="G295" s="96">
        <v>9.8000000000000007</v>
      </c>
      <c r="H295" s="103">
        <v>0.5</v>
      </c>
      <c r="I295" s="93">
        <v>9.8000000000000007</v>
      </c>
      <c r="J295" t="str">
        <f t="shared" si="4"/>
        <v>Yes</v>
      </c>
      <c r="K295" t="s">
        <v>4</v>
      </c>
    </row>
    <row r="296" spans="1:11" ht="16" hidden="1" customHeight="1" x14ac:dyDescent="0.2">
      <c r="A296" s="43">
        <v>46298</v>
      </c>
      <c r="B296" s="13" t="s">
        <v>142</v>
      </c>
      <c r="C296" s="13" t="s">
        <v>141</v>
      </c>
      <c r="D296" s="93">
        <v>3</v>
      </c>
      <c r="E296" s="93">
        <v>4</v>
      </c>
      <c r="F296" s="93" t="s">
        <v>383</v>
      </c>
      <c r="G296" s="96">
        <v>2.74</v>
      </c>
      <c r="H296" s="103">
        <v>0.2</v>
      </c>
      <c r="I296" s="93">
        <v>2.4</v>
      </c>
      <c r="J296" t="str">
        <f t="shared" si="4"/>
        <v>No</v>
      </c>
      <c r="K296" t="s">
        <v>89</v>
      </c>
    </row>
    <row r="297" spans="1:11" ht="16" hidden="1" customHeight="1" x14ac:dyDescent="0.2">
      <c r="A297" s="43">
        <v>46298</v>
      </c>
      <c r="B297" s="13" t="s">
        <v>142</v>
      </c>
      <c r="C297" s="13" t="s">
        <v>141</v>
      </c>
      <c r="D297" s="93">
        <v>3</v>
      </c>
      <c r="E297" s="93">
        <v>6</v>
      </c>
      <c r="F297" s="93" t="s">
        <v>209</v>
      </c>
      <c r="G297" s="96">
        <v>23</v>
      </c>
      <c r="H297" s="103">
        <v>0.5</v>
      </c>
      <c r="I297" s="93">
        <v>14.5</v>
      </c>
      <c r="J297" t="str">
        <f t="shared" si="4"/>
        <v>No</v>
      </c>
      <c r="K297" t="s">
        <v>4</v>
      </c>
    </row>
    <row r="298" spans="1:11" ht="16" hidden="1" customHeight="1" x14ac:dyDescent="0.2">
      <c r="A298" s="43">
        <v>46298</v>
      </c>
      <c r="B298" s="13" t="s">
        <v>142</v>
      </c>
      <c r="C298" s="13" t="s">
        <v>141</v>
      </c>
      <c r="D298" s="93">
        <v>3</v>
      </c>
      <c r="E298" s="93">
        <v>6</v>
      </c>
      <c r="F298" s="93" t="s">
        <v>209</v>
      </c>
      <c r="G298" s="96">
        <v>5.8</v>
      </c>
      <c r="H298" s="103">
        <v>0.2</v>
      </c>
      <c r="I298" s="93">
        <v>3.4</v>
      </c>
      <c r="J298" t="str">
        <f t="shared" si="4"/>
        <v>No</v>
      </c>
      <c r="K298" t="s">
        <v>89</v>
      </c>
    </row>
    <row r="299" spans="1:11" ht="16" hidden="1" customHeight="1" x14ac:dyDescent="0.2">
      <c r="A299" s="43">
        <v>46298</v>
      </c>
      <c r="B299" s="13" t="s">
        <v>142</v>
      </c>
      <c r="C299" s="13" t="s">
        <v>141</v>
      </c>
      <c r="D299" s="93">
        <v>3</v>
      </c>
      <c r="E299" s="93">
        <v>10</v>
      </c>
      <c r="F299" s="93" t="s">
        <v>384</v>
      </c>
      <c r="G299" s="96">
        <v>15</v>
      </c>
      <c r="H299" s="103">
        <v>0.5</v>
      </c>
      <c r="I299" s="93">
        <v>32.06</v>
      </c>
      <c r="J299" t="str">
        <f t="shared" si="4"/>
        <v>Yes</v>
      </c>
      <c r="K299" t="s">
        <v>4</v>
      </c>
    </row>
    <row r="300" spans="1:11" ht="16" hidden="1" customHeight="1" x14ac:dyDescent="0.2">
      <c r="A300" s="43">
        <v>46298</v>
      </c>
      <c r="B300" s="13" t="s">
        <v>142</v>
      </c>
      <c r="C300" s="13" t="s">
        <v>141</v>
      </c>
      <c r="D300" s="93">
        <v>3</v>
      </c>
      <c r="E300" s="93">
        <v>10</v>
      </c>
      <c r="F300" s="93" t="s">
        <v>384</v>
      </c>
      <c r="G300" s="96">
        <v>3.85</v>
      </c>
      <c r="H300" s="103">
        <v>0.2</v>
      </c>
      <c r="I300" s="93">
        <v>5.21</v>
      </c>
      <c r="J300" t="str">
        <f t="shared" si="4"/>
        <v>Yes</v>
      </c>
      <c r="K300" t="s">
        <v>89</v>
      </c>
    </row>
    <row r="301" spans="1:11" ht="16" hidden="1" customHeight="1" x14ac:dyDescent="0.2">
      <c r="A301" s="43">
        <v>46298</v>
      </c>
      <c r="B301" s="13" t="s">
        <v>142</v>
      </c>
      <c r="C301" s="13" t="s">
        <v>141</v>
      </c>
      <c r="D301" s="93">
        <v>3</v>
      </c>
      <c r="E301" s="93">
        <v>11</v>
      </c>
      <c r="F301" s="93" t="s">
        <v>385</v>
      </c>
      <c r="G301" s="96">
        <v>25</v>
      </c>
      <c r="H301" s="103">
        <v>0.5</v>
      </c>
      <c r="I301" s="93">
        <v>20</v>
      </c>
      <c r="J301" t="str">
        <f t="shared" si="4"/>
        <v>No</v>
      </c>
      <c r="K301" t="s">
        <v>4</v>
      </c>
    </row>
    <row r="302" spans="1:11" ht="16" hidden="1" customHeight="1" x14ac:dyDescent="0.2">
      <c r="A302" s="43">
        <v>46298</v>
      </c>
      <c r="B302" s="13" t="s">
        <v>142</v>
      </c>
      <c r="C302" s="13" t="s">
        <v>141</v>
      </c>
      <c r="D302" s="93">
        <v>3</v>
      </c>
      <c r="E302" s="93">
        <v>11</v>
      </c>
      <c r="F302" s="93" t="s">
        <v>385</v>
      </c>
      <c r="G302" s="96">
        <v>6.4</v>
      </c>
      <c r="H302" s="103">
        <v>0.2</v>
      </c>
      <c r="I302" s="93">
        <v>4.03</v>
      </c>
      <c r="J302" t="str">
        <f t="shared" si="4"/>
        <v>No</v>
      </c>
      <c r="K302" t="s">
        <v>89</v>
      </c>
    </row>
    <row r="303" spans="1:11" ht="16" hidden="1" customHeight="1" x14ac:dyDescent="0.2">
      <c r="A303" s="43">
        <v>46298</v>
      </c>
      <c r="B303" s="13" t="s">
        <v>142</v>
      </c>
      <c r="C303" s="13" t="s">
        <v>141</v>
      </c>
      <c r="D303" s="93">
        <v>3</v>
      </c>
      <c r="E303" s="93">
        <v>12</v>
      </c>
      <c r="F303" s="93" t="s">
        <v>280</v>
      </c>
      <c r="G303" s="96">
        <v>16</v>
      </c>
      <c r="H303" s="103">
        <v>0.5</v>
      </c>
      <c r="I303" s="93">
        <v>26</v>
      </c>
      <c r="J303" t="str">
        <f t="shared" si="4"/>
        <v>Yes</v>
      </c>
      <c r="K303" t="s">
        <v>4</v>
      </c>
    </row>
    <row r="304" spans="1:11" ht="16" hidden="1" customHeight="1" x14ac:dyDescent="0.2">
      <c r="A304" s="43">
        <v>46298</v>
      </c>
      <c r="B304" s="13" t="s">
        <v>142</v>
      </c>
      <c r="C304" s="13" t="s">
        <v>141</v>
      </c>
      <c r="D304" s="93">
        <v>3</v>
      </c>
      <c r="E304" s="93">
        <v>12</v>
      </c>
      <c r="F304" s="93" t="s">
        <v>280</v>
      </c>
      <c r="G304" s="96">
        <v>4.0999999999999996</v>
      </c>
      <c r="H304" s="103">
        <v>0.2</v>
      </c>
      <c r="I304" s="93">
        <v>4.96</v>
      </c>
      <c r="J304" t="str">
        <f t="shared" si="4"/>
        <v>Yes</v>
      </c>
      <c r="K304" t="s">
        <v>89</v>
      </c>
    </row>
    <row r="305" spans="1:11" ht="16" hidden="1" customHeight="1" x14ac:dyDescent="0.2">
      <c r="A305" s="43">
        <v>46298</v>
      </c>
      <c r="B305" s="13" t="s">
        <v>142</v>
      </c>
      <c r="C305" s="13" t="s">
        <v>141</v>
      </c>
      <c r="D305" s="93">
        <v>4</v>
      </c>
      <c r="E305" s="93">
        <v>2</v>
      </c>
      <c r="F305" s="93" t="s">
        <v>386</v>
      </c>
      <c r="G305" s="96">
        <v>18</v>
      </c>
      <c r="H305" s="103">
        <v>0.5</v>
      </c>
      <c r="I305" s="93">
        <v>18</v>
      </c>
      <c r="J305" t="str">
        <f t="shared" si="4"/>
        <v>Yes</v>
      </c>
      <c r="K305" t="s">
        <v>4</v>
      </c>
    </row>
    <row r="306" spans="1:11" ht="16" hidden="1" customHeight="1" x14ac:dyDescent="0.2">
      <c r="A306" s="43">
        <v>46298</v>
      </c>
      <c r="B306" s="13" t="s">
        <v>142</v>
      </c>
      <c r="C306" s="13" t="s">
        <v>141</v>
      </c>
      <c r="D306" s="93">
        <v>4</v>
      </c>
      <c r="E306" s="93">
        <v>2</v>
      </c>
      <c r="F306" s="93" t="s">
        <v>386</v>
      </c>
      <c r="G306" s="96">
        <v>4.5</v>
      </c>
      <c r="H306" s="103">
        <v>0.2</v>
      </c>
      <c r="I306" s="93">
        <v>3.35</v>
      </c>
      <c r="J306" t="str">
        <f t="shared" si="4"/>
        <v>No</v>
      </c>
      <c r="K306" t="s">
        <v>89</v>
      </c>
    </row>
    <row r="307" spans="1:11" ht="16" hidden="1" customHeight="1" x14ac:dyDescent="0.2">
      <c r="A307" s="43">
        <v>46298</v>
      </c>
      <c r="B307" s="13" t="s">
        <v>142</v>
      </c>
      <c r="C307" s="13" t="s">
        <v>141</v>
      </c>
      <c r="D307" s="93">
        <v>4</v>
      </c>
      <c r="E307" s="93">
        <v>5</v>
      </c>
      <c r="F307" s="93" t="s">
        <v>387</v>
      </c>
      <c r="G307" s="96">
        <v>13</v>
      </c>
      <c r="H307" s="103">
        <v>0.5</v>
      </c>
      <c r="I307" s="93">
        <v>13.37</v>
      </c>
      <c r="J307" t="str">
        <f t="shared" si="4"/>
        <v>Yes</v>
      </c>
      <c r="K307" t="s">
        <v>4</v>
      </c>
    </row>
    <row r="308" spans="1:11" ht="16" hidden="1" customHeight="1" x14ac:dyDescent="0.2">
      <c r="A308" s="43">
        <v>46298</v>
      </c>
      <c r="B308" s="13" t="s">
        <v>142</v>
      </c>
      <c r="C308" s="13" t="s">
        <v>141</v>
      </c>
      <c r="D308" s="93">
        <v>4</v>
      </c>
      <c r="E308" s="93">
        <v>5</v>
      </c>
      <c r="F308" s="93" t="s">
        <v>387</v>
      </c>
      <c r="G308" s="96">
        <v>3.45</v>
      </c>
      <c r="H308" s="103">
        <v>0.2</v>
      </c>
      <c r="I308" s="93">
        <v>3.3</v>
      </c>
      <c r="J308" t="str">
        <f t="shared" si="4"/>
        <v>No</v>
      </c>
      <c r="K308" t="s">
        <v>89</v>
      </c>
    </row>
    <row r="309" spans="1:11" ht="16" hidden="1" customHeight="1" x14ac:dyDescent="0.2">
      <c r="A309" s="43">
        <v>46298</v>
      </c>
      <c r="B309" s="13" t="s">
        <v>142</v>
      </c>
      <c r="C309" s="13" t="s">
        <v>141</v>
      </c>
      <c r="D309" s="93">
        <v>5</v>
      </c>
      <c r="E309" s="93">
        <v>4</v>
      </c>
      <c r="F309" s="93" t="s">
        <v>388</v>
      </c>
      <c r="G309" s="96">
        <v>8.6</v>
      </c>
      <c r="H309" s="103">
        <v>0.5</v>
      </c>
      <c r="I309" s="93">
        <v>8.6</v>
      </c>
      <c r="J309" t="str">
        <f t="shared" si="4"/>
        <v>Yes</v>
      </c>
      <c r="K309" t="s">
        <v>4</v>
      </c>
    </row>
    <row r="310" spans="1:11" ht="16" hidden="1" customHeight="1" x14ac:dyDescent="0.2">
      <c r="A310" s="43">
        <v>46298</v>
      </c>
      <c r="B310" s="13" t="s">
        <v>142</v>
      </c>
      <c r="C310" s="13" t="s">
        <v>141</v>
      </c>
      <c r="D310" s="93">
        <v>5</v>
      </c>
      <c r="E310" s="93">
        <v>4</v>
      </c>
      <c r="F310" s="93" t="s">
        <v>388</v>
      </c>
      <c r="G310" s="96">
        <v>2.6</v>
      </c>
      <c r="H310" s="103">
        <v>0.2</v>
      </c>
      <c r="I310" s="93">
        <v>2.42</v>
      </c>
      <c r="J310" t="str">
        <f t="shared" si="4"/>
        <v>No</v>
      </c>
      <c r="K310" t="s">
        <v>89</v>
      </c>
    </row>
    <row r="311" spans="1:11" ht="16" hidden="1" customHeight="1" x14ac:dyDescent="0.2">
      <c r="A311" s="43">
        <v>46298</v>
      </c>
      <c r="B311" s="13" t="s">
        <v>142</v>
      </c>
      <c r="C311" s="13" t="s">
        <v>141</v>
      </c>
      <c r="D311" s="93">
        <v>5</v>
      </c>
      <c r="E311" s="93">
        <v>8</v>
      </c>
      <c r="F311" s="93" t="s">
        <v>389</v>
      </c>
      <c r="G311" s="96">
        <v>17.5</v>
      </c>
      <c r="H311" s="103">
        <v>0.5</v>
      </c>
      <c r="I311" s="93">
        <v>30</v>
      </c>
      <c r="J311" t="str">
        <f t="shared" si="4"/>
        <v>Yes</v>
      </c>
      <c r="K311" t="s">
        <v>4</v>
      </c>
    </row>
    <row r="312" spans="1:11" ht="16" hidden="1" customHeight="1" x14ac:dyDescent="0.2">
      <c r="A312" s="43">
        <v>46298</v>
      </c>
      <c r="B312" s="13" t="s">
        <v>142</v>
      </c>
      <c r="C312" s="13" t="s">
        <v>141</v>
      </c>
      <c r="D312" s="93">
        <v>5</v>
      </c>
      <c r="E312" s="93">
        <v>8</v>
      </c>
      <c r="F312" s="93" t="s">
        <v>389</v>
      </c>
      <c r="G312" s="96">
        <v>5</v>
      </c>
      <c r="H312" s="103">
        <v>0.2</v>
      </c>
      <c r="I312" s="93">
        <v>5.62</v>
      </c>
      <c r="J312" t="str">
        <f t="shared" si="4"/>
        <v>Yes</v>
      </c>
      <c r="K312" t="s">
        <v>89</v>
      </c>
    </row>
    <row r="313" spans="1:11" ht="16" hidden="1" customHeight="1" x14ac:dyDescent="0.2">
      <c r="A313" s="43">
        <v>46298</v>
      </c>
      <c r="B313" s="13" t="s">
        <v>142</v>
      </c>
      <c r="C313" s="13" t="s">
        <v>141</v>
      </c>
      <c r="D313" s="93">
        <v>5</v>
      </c>
      <c r="E313" s="93">
        <v>9</v>
      </c>
      <c r="F313" s="93" t="s">
        <v>390</v>
      </c>
      <c r="G313" s="96">
        <v>22</v>
      </c>
      <c r="H313" s="103">
        <v>0.5</v>
      </c>
      <c r="I313" s="93">
        <v>38.29</v>
      </c>
      <c r="J313" t="str">
        <f t="shared" si="4"/>
        <v>Yes</v>
      </c>
      <c r="K313" t="s">
        <v>4</v>
      </c>
    </row>
    <row r="314" spans="1:11" ht="16" hidden="1" customHeight="1" x14ac:dyDescent="0.2">
      <c r="A314" s="43">
        <v>46298</v>
      </c>
      <c r="B314" s="13" t="s">
        <v>142</v>
      </c>
      <c r="C314" s="13" t="s">
        <v>141</v>
      </c>
      <c r="D314" s="93">
        <v>5</v>
      </c>
      <c r="E314" s="93">
        <v>9</v>
      </c>
      <c r="F314" s="93" t="s">
        <v>390</v>
      </c>
      <c r="G314" s="96">
        <v>6.4</v>
      </c>
      <c r="H314" s="103">
        <v>0.2</v>
      </c>
      <c r="I314" s="93">
        <v>7.2</v>
      </c>
      <c r="J314" t="str">
        <f t="shared" si="4"/>
        <v>Yes</v>
      </c>
      <c r="K314" t="s">
        <v>89</v>
      </c>
    </row>
    <row r="315" spans="1:11" ht="16" hidden="1" customHeight="1" x14ac:dyDescent="0.2">
      <c r="A315" s="43">
        <v>46298</v>
      </c>
      <c r="B315" s="13" t="s">
        <v>134</v>
      </c>
      <c r="C315" s="13" t="s">
        <v>138</v>
      </c>
      <c r="D315" s="93">
        <v>5</v>
      </c>
      <c r="E315" s="93">
        <v>2</v>
      </c>
      <c r="F315" s="93" t="s">
        <v>391</v>
      </c>
      <c r="G315" s="96">
        <v>17</v>
      </c>
      <c r="H315" s="103">
        <v>0.5</v>
      </c>
      <c r="I315" s="93">
        <v>17</v>
      </c>
      <c r="J315" t="str">
        <f t="shared" si="4"/>
        <v>Yes</v>
      </c>
      <c r="K315" t="s">
        <v>4</v>
      </c>
    </row>
    <row r="316" spans="1:11" ht="16" hidden="1" customHeight="1" x14ac:dyDescent="0.2">
      <c r="A316" s="43">
        <v>46298</v>
      </c>
      <c r="B316" s="13" t="s">
        <v>134</v>
      </c>
      <c r="C316" s="13" t="s">
        <v>138</v>
      </c>
      <c r="D316" s="93">
        <v>5</v>
      </c>
      <c r="E316" s="93">
        <v>9</v>
      </c>
      <c r="F316" s="93" t="s">
        <v>203</v>
      </c>
      <c r="G316" s="96">
        <v>14</v>
      </c>
      <c r="H316" s="103">
        <v>0.5</v>
      </c>
      <c r="I316" s="93">
        <v>13.51</v>
      </c>
      <c r="J316" t="str">
        <f t="shared" si="4"/>
        <v>No</v>
      </c>
      <c r="K316" t="s">
        <v>4</v>
      </c>
    </row>
    <row r="317" spans="1:11" ht="16" hidden="1" customHeight="1" x14ac:dyDescent="0.2">
      <c r="A317" s="43">
        <v>46298</v>
      </c>
      <c r="B317" s="13" t="s">
        <v>142</v>
      </c>
      <c r="C317" s="13" t="s">
        <v>141</v>
      </c>
      <c r="D317" s="93">
        <v>6</v>
      </c>
      <c r="E317" s="93">
        <v>4</v>
      </c>
      <c r="F317" s="93" t="s">
        <v>392</v>
      </c>
      <c r="G317" s="96">
        <v>12</v>
      </c>
      <c r="H317" s="103">
        <v>0.5</v>
      </c>
      <c r="I317" s="93">
        <v>7.94</v>
      </c>
      <c r="J317" t="str">
        <f t="shared" si="4"/>
        <v>No</v>
      </c>
      <c r="K317" t="s">
        <v>4</v>
      </c>
    </row>
    <row r="318" spans="1:11" ht="16" hidden="1" customHeight="1" x14ac:dyDescent="0.2">
      <c r="A318" s="43">
        <v>46298</v>
      </c>
      <c r="B318" s="13" t="s">
        <v>142</v>
      </c>
      <c r="C318" s="13" t="s">
        <v>141</v>
      </c>
      <c r="D318" s="93">
        <v>6</v>
      </c>
      <c r="E318" s="93">
        <v>4</v>
      </c>
      <c r="F318" s="93" t="s">
        <v>392</v>
      </c>
      <c r="G318" s="96">
        <v>3</v>
      </c>
      <c r="H318" s="103">
        <v>0.2</v>
      </c>
      <c r="I318" s="93">
        <v>2.25</v>
      </c>
      <c r="J318" t="str">
        <f t="shared" si="4"/>
        <v>No</v>
      </c>
      <c r="K318" t="s">
        <v>89</v>
      </c>
    </row>
    <row r="319" spans="1:11" ht="16" hidden="1" customHeight="1" x14ac:dyDescent="0.2">
      <c r="A319" s="43">
        <v>46298</v>
      </c>
      <c r="B319" s="13" t="s">
        <v>142</v>
      </c>
      <c r="C319" s="13" t="s">
        <v>141</v>
      </c>
      <c r="D319" s="93">
        <v>6</v>
      </c>
      <c r="E319" s="93">
        <v>6</v>
      </c>
      <c r="F319" s="93" t="s">
        <v>393</v>
      </c>
      <c r="G319" s="96">
        <v>12</v>
      </c>
      <c r="H319" s="103">
        <v>0.5</v>
      </c>
      <c r="I319" s="93">
        <v>12</v>
      </c>
      <c r="J319" t="str">
        <f t="shared" si="4"/>
        <v>Yes</v>
      </c>
      <c r="K319" t="s">
        <v>4</v>
      </c>
    </row>
    <row r="320" spans="1:11" ht="16" hidden="1" customHeight="1" x14ac:dyDescent="0.2">
      <c r="A320" s="43">
        <v>46298</v>
      </c>
      <c r="B320" s="13" t="s">
        <v>142</v>
      </c>
      <c r="C320" s="13" t="s">
        <v>141</v>
      </c>
      <c r="D320" s="93">
        <v>6</v>
      </c>
      <c r="E320" s="93">
        <v>6</v>
      </c>
      <c r="F320" s="93" t="s">
        <v>393</v>
      </c>
      <c r="G320" s="96">
        <v>2.9</v>
      </c>
      <c r="H320" s="103">
        <v>0.2</v>
      </c>
      <c r="I320" s="93">
        <v>2.8</v>
      </c>
      <c r="J320" t="str">
        <f t="shared" si="4"/>
        <v>No</v>
      </c>
      <c r="K320" t="s">
        <v>89</v>
      </c>
    </row>
    <row r="321" spans="1:11" ht="16" hidden="1" customHeight="1" x14ac:dyDescent="0.2">
      <c r="A321" s="43">
        <v>46298</v>
      </c>
      <c r="B321" s="13" t="s">
        <v>142</v>
      </c>
      <c r="C321" s="13" t="s">
        <v>141</v>
      </c>
      <c r="D321" s="93">
        <v>7</v>
      </c>
      <c r="E321" s="93">
        <v>1</v>
      </c>
      <c r="F321" s="93" t="s">
        <v>225</v>
      </c>
      <c r="G321" s="96">
        <v>16</v>
      </c>
      <c r="H321" s="103">
        <v>0.5</v>
      </c>
      <c r="I321" s="93">
        <v>26.94</v>
      </c>
      <c r="J321" t="str">
        <f t="shared" si="4"/>
        <v>Yes</v>
      </c>
      <c r="K321" t="s">
        <v>4</v>
      </c>
    </row>
    <row r="322" spans="1:11" ht="16" hidden="1" customHeight="1" x14ac:dyDescent="0.2">
      <c r="A322" s="43">
        <v>46298</v>
      </c>
      <c r="B322" s="13" t="s">
        <v>142</v>
      </c>
      <c r="C322" s="13" t="s">
        <v>141</v>
      </c>
      <c r="D322" s="93">
        <v>7</v>
      </c>
      <c r="E322" s="93">
        <v>1</v>
      </c>
      <c r="F322" s="93" t="s">
        <v>225</v>
      </c>
      <c r="G322" s="96">
        <v>4.4000000000000004</v>
      </c>
      <c r="H322" s="103">
        <v>0.2</v>
      </c>
      <c r="I322" s="93">
        <v>4.8</v>
      </c>
      <c r="J322" t="str">
        <f t="shared" ref="J322:J384" si="5">IF(I322&gt;=G322,"Yes","No")</f>
        <v>Yes</v>
      </c>
      <c r="K322" t="s">
        <v>89</v>
      </c>
    </row>
    <row r="323" spans="1:11" ht="16" hidden="1" customHeight="1" x14ac:dyDescent="0.2">
      <c r="A323" s="43">
        <v>46298</v>
      </c>
      <c r="B323" s="13" t="s">
        <v>142</v>
      </c>
      <c r="C323" s="13" t="s">
        <v>141</v>
      </c>
      <c r="D323" s="93">
        <v>7</v>
      </c>
      <c r="E323" s="93">
        <v>4</v>
      </c>
      <c r="F323" s="93" t="s">
        <v>394</v>
      </c>
      <c r="G323" s="96">
        <v>12</v>
      </c>
      <c r="H323" s="103">
        <v>0.5</v>
      </c>
      <c r="I323" s="93">
        <v>15.95</v>
      </c>
      <c r="J323" t="str">
        <f t="shared" si="5"/>
        <v>Yes</v>
      </c>
      <c r="K323" t="s">
        <v>4</v>
      </c>
    </row>
    <row r="324" spans="1:11" ht="16" hidden="1" customHeight="1" x14ac:dyDescent="0.2">
      <c r="A324" s="43">
        <v>46298</v>
      </c>
      <c r="B324" s="13" t="s">
        <v>142</v>
      </c>
      <c r="C324" s="13" t="s">
        <v>141</v>
      </c>
      <c r="D324" s="93">
        <v>7</v>
      </c>
      <c r="E324" s="93">
        <v>4</v>
      </c>
      <c r="F324" s="93" t="s">
        <v>394</v>
      </c>
      <c r="G324" s="96">
        <v>3.5</v>
      </c>
      <c r="H324" s="103">
        <v>0.2</v>
      </c>
      <c r="I324" s="93">
        <v>3.35</v>
      </c>
      <c r="J324" t="str">
        <f t="shared" si="5"/>
        <v>No</v>
      </c>
      <c r="K324" t="s">
        <v>89</v>
      </c>
    </row>
    <row r="325" spans="1:11" ht="16" hidden="1" customHeight="1" x14ac:dyDescent="0.2">
      <c r="A325" s="43">
        <v>46298</v>
      </c>
      <c r="B325" s="13" t="s">
        <v>142</v>
      </c>
      <c r="C325" s="13" t="s">
        <v>141</v>
      </c>
      <c r="D325" s="93">
        <v>7</v>
      </c>
      <c r="E325" s="93">
        <v>6</v>
      </c>
      <c r="F325" s="93" t="s">
        <v>395</v>
      </c>
      <c r="G325" s="96">
        <v>9.1999999999999993</v>
      </c>
      <c r="H325" s="103">
        <v>0.5</v>
      </c>
      <c r="I325" s="93">
        <v>13.5</v>
      </c>
      <c r="J325" t="str">
        <f t="shared" si="5"/>
        <v>Yes</v>
      </c>
      <c r="K325" t="s">
        <v>4</v>
      </c>
    </row>
    <row r="326" spans="1:11" ht="16" hidden="1" customHeight="1" x14ac:dyDescent="0.2">
      <c r="A326" s="43">
        <v>46298</v>
      </c>
      <c r="B326" s="13" t="s">
        <v>142</v>
      </c>
      <c r="C326" s="13" t="s">
        <v>141</v>
      </c>
      <c r="D326" s="93">
        <v>7</v>
      </c>
      <c r="E326" s="93">
        <v>6</v>
      </c>
      <c r="F326" s="93" t="s">
        <v>395</v>
      </c>
      <c r="G326" s="96">
        <v>2.78</v>
      </c>
      <c r="H326" s="103">
        <v>0.2</v>
      </c>
      <c r="I326" s="93">
        <v>2.74</v>
      </c>
      <c r="J326" t="str">
        <f t="shared" si="5"/>
        <v>No</v>
      </c>
      <c r="K326" t="s">
        <v>89</v>
      </c>
    </row>
    <row r="327" spans="1:11" ht="16" hidden="1" customHeight="1" x14ac:dyDescent="0.2">
      <c r="A327" s="43">
        <v>46298</v>
      </c>
      <c r="B327" s="13" t="s">
        <v>134</v>
      </c>
      <c r="C327" s="13" t="s">
        <v>138</v>
      </c>
      <c r="D327" s="93">
        <v>7</v>
      </c>
      <c r="E327" s="93">
        <v>5</v>
      </c>
      <c r="F327" s="93" t="s">
        <v>312</v>
      </c>
      <c r="G327" s="96">
        <v>7.8</v>
      </c>
      <c r="H327" s="103">
        <v>0.5</v>
      </c>
      <c r="I327" s="93">
        <v>6.48</v>
      </c>
      <c r="J327" t="str">
        <f t="shared" si="5"/>
        <v>No</v>
      </c>
      <c r="K327" t="s">
        <v>4</v>
      </c>
    </row>
    <row r="328" spans="1:11" ht="16" hidden="1" customHeight="1" x14ac:dyDescent="0.2">
      <c r="A328" s="43">
        <v>46298</v>
      </c>
      <c r="B328" s="13" t="s">
        <v>134</v>
      </c>
      <c r="C328" s="13" t="s">
        <v>138</v>
      </c>
      <c r="D328" s="93">
        <v>7</v>
      </c>
      <c r="E328" s="93">
        <v>8</v>
      </c>
      <c r="F328" s="93" t="s">
        <v>396</v>
      </c>
      <c r="G328" s="96">
        <v>22</v>
      </c>
      <c r="H328" s="103">
        <v>0.5</v>
      </c>
      <c r="I328" s="93">
        <v>22</v>
      </c>
      <c r="J328" t="str">
        <f t="shared" si="5"/>
        <v>Yes</v>
      </c>
      <c r="K328" t="s">
        <v>4</v>
      </c>
    </row>
    <row r="329" spans="1:11" ht="16" hidden="1" customHeight="1" x14ac:dyDescent="0.2">
      <c r="A329" s="43">
        <v>46298</v>
      </c>
      <c r="B329" s="13" t="s">
        <v>142</v>
      </c>
      <c r="C329" s="13" t="s">
        <v>141</v>
      </c>
      <c r="D329" s="93">
        <v>8</v>
      </c>
      <c r="E329" s="93">
        <v>1</v>
      </c>
      <c r="F329" s="93" t="s">
        <v>253</v>
      </c>
      <c r="G329" s="96">
        <v>9.6</v>
      </c>
      <c r="H329" s="103">
        <v>0.5</v>
      </c>
      <c r="I329" s="93">
        <v>9.7899999999999991</v>
      </c>
      <c r="J329" t="str">
        <f t="shared" si="5"/>
        <v>Yes</v>
      </c>
      <c r="K329" t="s">
        <v>4</v>
      </c>
    </row>
    <row r="330" spans="1:11" ht="16" hidden="1" customHeight="1" x14ac:dyDescent="0.2">
      <c r="A330" s="43">
        <v>46298</v>
      </c>
      <c r="B330" s="13" t="s">
        <v>142</v>
      </c>
      <c r="C330" s="13" t="s">
        <v>141</v>
      </c>
      <c r="D330" s="93">
        <v>8</v>
      </c>
      <c r="E330" s="93">
        <v>1</v>
      </c>
      <c r="F330" s="93" t="s">
        <v>253</v>
      </c>
      <c r="G330" s="96">
        <v>3.15</v>
      </c>
      <c r="H330" s="103">
        <v>0.2</v>
      </c>
      <c r="I330" s="93">
        <v>3.1</v>
      </c>
      <c r="J330" t="str">
        <f t="shared" si="5"/>
        <v>No</v>
      </c>
      <c r="K330" t="s">
        <v>89</v>
      </c>
    </row>
    <row r="331" spans="1:11" ht="16" hidden="1" customHeight="1" x14ac:dyDescent="0.2">
      <c r="A331" s="43">
        <v>46298</v>
      </c>
      <c r="B331" s="13" t="s">
        <v>142</v>
      </c>
      <c r="C331" s="13" t="s">
        <v>141</v>
      </c>
      <c r="D331" s="93">
        <v>8</v>
      </c>
      <c r="E331" s="93">
        <v>4</v>
      </c>
      <c r="F331" s="93" t="s">
        <v>397</v>
      </c>
      <c r="G331" s="96">
        <v>9.1999999999999993</v>
      </c>
      <c r="H331" s="103">
        <v>0.5</v>
      </c>
      <c r="I331" s="93">
        <v>13.29</v>
      </c>
      <c r="J331" t="str">
        <f t="shared" si="5"/>
        <v>Yes</v>
      </c>
      <c r="K331" t="s">
        <v>4</v>
      </c>
    </row>
    <row r="332" spans="1:11" ht="16" hidden="1" customHeight="1" x14ac:dyDescent="0.2">
      <c r="A332" s="43">
        <v>46298</v>
      </c>
      <c r="B332" s="13" t="s">
        <v>142</v>
      </c>
      <c r="C332" s="13" t="s">
        <v>141</v>
      </c>
      <c r="D332" s="93">
        <v>8</v>
      </c>
      <c r="E332" s="93">
        <v>4</v>
      </c>
      <c r="F332" s="93" t="s">
        <v>397</v>
      </c>
      <c r="G332" s="96">
        <v>2.9</v>
      </c>
      <c r="H332" s="103">
        <v>0.2</v>
      </c>
      <c r="I332" s="93">
        <v>3.18</v>
      </c>
      <c r="J332" t="str">
        <f t="shared" si="5"/>
        <v>Yes</v>
      </c>
      <c r="K332" t="s">
        <v>89</v>
      </c>
    </row>
    <row r="333" spans="1:11" ht="16" hidden="1" customHeight="1" x14ac:dyDescent="0.2">
      <c r="A333" s="43">
        <v>46298</v>
      </c>
      <c r="B333" s="13" t="s">
        <v>142</v>
      </c>
      <c r="C333" s="13" t="s">
        <v>141</v>
      </c>
      <c r="D333" s="93">
        <v>8</v>
      </c>
      <c r="E333" s="93">
        <v>9</v>
      </c>
      <c r="F333" s="93" t="s">
        <v>277</v>
      </c>
      <c r="G333" s="96">
        <v>11</v>
      </c>
      <c r="H333" s="103">
        <v>0.5</v>
      </c>
      <c r="I333" s="93">
        <v>5.12</v>
      </c>
      <c r="J333" t="str">
        <f t="shared" si="5"/>
        <v>No</v>
      </c>
      <c r="K333" t="s">
        <v>4</v>
      </c>
    </row>
    <row r="334" spans="1:11" ht="16" hidden="1" customHeight="1" x14ac:dyDescent="0.2">
      <c r="A334" s="43">
        <v>46298</v>
      </c>
      <c r="B334" s="13" t="s">
        <v>142</v>
      </c>
      <c r="C334" s="13" t="s">
        <v>141</v>
      </c>
      <c r="D334" s="93">
        <v>8</v>
      </c>
      <c r="E334" s="93">
        <v>9</v>
      </c>
      <c r="F334" s="93" t="s">
        <v>277</v>
      </c>
      <c r="G334" s="96">
        <v>3.55</v>
      </c>
      <c r="H334" s="103">
        <v>0.2</v>
      </c>
      <c r="I334" s="93">
        <v>2.04</v>
      </c>
      <c r="J334" t="str">
        <f t="shared" si="5"/>
        <v>No</v>
      </c>
      <c r="K334" t="s">
        <v>89</v>
      </c>
    </row>
    <row r="335" spans="1:11" ht="16" hidden="1" customHeight="1" x14ac:dyDescent="0.2">
      <c r="A335" s="43">
        <v>46298</v>
      </c>
      <c r="B335" s="13" t="s">
        <v>134</v>
      </c>
      <c r="C335" s="13" t="s">
        <v>138</v>
      </c>
      <c r="D335" s="93">
        <v>8</v>
      </c>
      <c r="E335" s="93">
        <v>4</v>
      </c>
      <c r="F335" s="93" t="s">
        <v>315</v>
      </c>
      <c r="G335" s="96">
        <v>28</v>
      </c>
      <c r="H335" s="103">
        <v>0.5</v>
      </c>
      <c r="I335" s="93">
        <v>25</v>
      </c>
      <c r="J335" t="str">
        <f t="shared" si="5"/>
        <v>No</v>
      </c>
      <c r="K335" t="s">
        <v>4</v>
      </c>
    </row>
    <row r="336" spans="1:11" ht="16" hidden="1" customHeight="1" x14ac:dyDescent="0.2">
      <c r="A336" s="43">
        <v>46298</v>
      </c>
      <c r="B336" s="13" t="s">
        <v>134</v>
      </c>
      <c r="C336" s="13" t="s">
        <v>138</v>
      </c>
      <c r="D336" s="93">
        <v>8</v>
      </c>
      <c r="E336" s="93">
        <v>12</v>
      </c>
      <c r="F336" s="93" t="s">
        <v>398</v>
      </c>
      <c r="G336" s="96">
        <v>24</v>
      </c>
      <c r="H336" s="103">
        <v>0.5</v>
      </c>
      <c r="I336" s="93">
        <v>10.7</v>
      </c>
      <c r="J336" t="str">
        <f t="shared" si="5"/>
        <v>No</v>
      </c>
      <c r="K336" t="s">
        <v>4</v>
      </c>
    </row>
    <row r="337" spans="1:11" ht="16" hidden="1" customHeight="1" x14ac:dyDescent="0.2">
      <c r="A337" s="43">
        <v>46298</v>
      </c>
      <c r="B337" s="13" t="s">
        <v>134</v>
      </c>
      <c r="C337" s="13" t="s">
        <v>138</v>
      </c>
      <c r="D337" s="93">
        <v>8</v>
      </c>
      <c r="E337" s="93">
        <v>19</v>
      </c>
      <c r="F337" s="93" t="s">
        <v>399</v>
      </c>
      <c r="G337" s="96">
        <v>10.5</v>
      </c>
      <c r="H337" s="103">
        <v>0.5</v>
      </c>
      <c r="I337" s="93">
        <v>6.67</v>
      </c>
      <c r="J337" t="str">
        <f t="shared" si="5"/>
        <v>No</v>
      </c>
      <c r="K337" t="s">
        <v>4</v>
      </c>
    </row>
    <row r="338" spans="1:11" ht="16" hidden="1" customHeight="1" x14ac:dyDescent="0.2">
      <c r="A338" s="43">
        <v>46298</v>
      </c>
      <c r="B338" s="13" t="s">
        <v>142</v>
      </c>
      <c r="C338" s="13" t="s">
        <v>141</v>
      </c>
      <c r="D338" s="93">
        <v>9</v>
      </c>
      <c r="E338" s="93">
        <v>3</v>
      </c>
      <c r="F338" s="93" t="s">
        <v>400</v>
      </c>
      <c r="G338" s="96">
        <v>21</v>
      </c>
      <c r="H338" s="103">
        <v>0.5</v>
      </c>
      <c r="I338" s="93">
        <v>21</v>
      </c>
      <c r="J338" t="str">
        <f t="shared" si="5"/>
        <v>Yes</v>
      </c>
      <c r="K338" t="s">
        <v>4</v>
      </c>
    </row>
    <row r="339" spans="1:11" ht="16" hidden="1" customHeight="1" x14ac:dyDescent="0.2">
      <c r="A339" s="43">
        <v>46298</v>
      </c>
      <c r="B339" s="13" t="s">
        <v>142</v>
      </c>
      <c r="C339" s="13" t="s">
        <v>141</v>
      </c>
      <c r="D339" s="93">
        <v>9</v>
      </c>
      <c r="E339" s="93">
        <v>3</v>
      </c>
      <c r="F339" s="93" t="s">
        <v>400</v>
      </c>
      <c r="G339" s="96">
        <v>6.4</v>
      </c>
      <c r="H339" s="103">
        <v>0.2</v>
      </c>
      <c r="I339" s="93">
        <v>5.78</v>
      </c>
      <c r="J339" t="str">
        <f t="shared" si="5"/>
        <v>No</v>
      </c>
      <c r="K339" t="s">
        <v>89</v>
      </c>
    </row>
    <row r="340" spans="1:11" ht="16" hidden="1" customHeight="1" x14ac:dyDescent="0.2">
      <c r="A340" s="43">
        <v>46298</v>
      </c>
      <c r="B340" s="13" t="s">
        <v>142</v>
      </c>
      <c r="C340" s="13" t="s">
        <v>141</v>
      </c>
      <c r="D340" s="93">
        <v>9</v>
      </c>
      <c r="E340" s="93">
        <v>6</v>
      </c>
      <c r="F340" s="93" t="s">
        <v>401</v>
      </c>
      <c r="G340" s="96">
        <v>11.5</v>
      </c>
      <c r="H340" s="103">
        <v>0.5</v>
      </c>
      <c r="I340" s="93">
        <v>9.6</v>
      </c>
      <c r="J340" t="str">
        <f t="shared" si="5"/>
        <v>No</v>
      </c>
      <c r="K340" t="s">
        <v>4</v>
      </c>
    </row>
    <row r="341" spans="1:11" ht="16" hidden="1" customHeight="1" x14ac:dyDescent="0.2">
      <c r="A341" s="43">
        <v>46298</v>
      </c>
      <c r="B341" s="13" t="s">
        <v>142</v>
      </c>
      <c r="C341" s="13" t="s">
        <v>141</v>
      </c>
      <c r="D341" s="93">
        <v>9</v>
      </c>
      <c r="E341" s="93">
        <v>6</v>
      </c>
      <c r="F341" s="93" t="s">
        <v>401</v>
      </c>
      <c r="G341" s="96">
        <v>3.7</v>
      </c>
      <c r="H341" s="103">
        <v>0.2</v>
      </c>
      <c r="I341" s="93">
        <v>2.78</v>
      </c>
      <c r="J341" t="str">
        <f t="shared" si="5"/>
        <v>No</v>
      </c>
      <c r="K341" t="s">
        <v>89</v>
      </c>
    </row>
    <row r="342" spans="1:11" ht="16" hidden="1" customHeight="1" x14ac:dyDescent="0.2">
      <c r="A342" s="43">
        <v>46298</v>
      </c>
      <c r="B342" s="13" t="s">
        <v>142</v>
      </c>
      <c r="C342" s="13" t="s">
        <v>141</v>
      </c>
      <c r="D342" s="93">
        <v>9</v>
      </c>
      <c r="E342" s="93">
        <v>7</v>
      </c>
      <c r="F342" s="93" t="s">
        <v>156</v>
      </c>
      <c r="G342" s="96">
        <v>12.5</v>
      </c>
      <c r="H342" s="103">
        <v>0.5</v>
      </c>
      <c r="I342" s="93">
        <v>15.5</v>
      </c>
      <c r="J342" t="str">
        <f t="shared" si="5"/>
        <v>Yes</v>
      </c>
      <c r="K342" t="s">
        <v>4</v>
      </c>
    </row>
    <row r="343" spans="1:11" ht="16" hidden="1" customHeight="1" x14ac:dyDescent="0.2">
      <c r="A343" s="43">
        <v>46298</v>
      </c>
      <c r="B343" s="13" t="s">
        <v>142</v>
      </c>
      <c r="C343" s="13" t="s">
        <v>141</v>
      </c>
      <c r="D343" s="93">
        <v>9</v>
      </c>
      <c r="E343" s="93">
        <v>7</v>
      </c>
      <c r="F343" s="93" t="s">
        <v>156</v>
      </c>
      <c r="G343" s="96">
        <v>4</v>
      </c>
      <c r="H343" s="103">
        <v>0.2</v>
      </c>
      <c r="I343" s="93">
        <v>4.3899999999999997</v>
      </c>
      <c r="J343" t="str">
        <f t="shared" si="5"/>
        <v>Yes</v>
      </c>
      <c r="K343" t="s">
        <v>89</v>
      </c>
    </row>
    <row r="344" spans="1:11" ht="16" hidden="1" customHeight="1" x14ac:dyDescent="0.2">
      <c r="A344" s="43">
        <v>46298</v>
      </c>
      <c r="B344" s="13" t="s">
        <v>142</v>
      </c>
      <c r="C344" s="13" t="s">
        <v>141</v>
      </c>
      <c r="D344" s="93">
        <v>9</v>
      </c>
      <c r="E344" s="93">
        <v>8</v>
      </c>
      <c r="F344" s="93" t="s">
        <v>402</v>
      </c>
      <c r="G344" s="96">
        <v>12</v>
      </c>
      <c r="H344" s="103">
        <v>0.5</v>
      </c>
      <c r="I344" s="93">
        <v>12</v>
      </c>
      <c r="J344" t="str">
        <f t="shared" si="5"/>
        <v>Yes</v>
      </c>
      <c r="K344" t="s">
        <v>4</v>
      </c>
    </row>
    <row r="345" spans="1:11" ht="16" hidden="1" customHeight="1" x14ac:dyDescent="0.2">
      <c r="A345" s="43">
        <v>46298</v>
      </c>
      <c r="B345" s="13" t="s">
        <v>142</v>
      </c>
      <c r="C345" s="13" t="s">
        <v>141</v>
      </c>
      <c r="D345" s="93">
        <v>9</v>
      </c>
      <c r="E345" s="93">
        <v>8</v>
      </c>
      <c r="F345" s="93" t="s">
        <v>402</v>
      </c>
      <c r="G345" s="96">
        <v>3.65</v>
      </c>
      <c r="H345" s="103">
        <v>0.2</v>
      </c>
      <c r="I345" s="93">
        <v>3.21</v>
      </c>
      <c r="J345" t="str">
        <f t="shared" si="5"/>
        <v>No</v>
      </c>
      <c r="K345" t="s">
        <v>89</v>
      </c>
    </row>
    <row r="346" spans="1:11" ht="16" hidden="1" customHeight="1" x14ac:dyDescent="0.2">
      <c r="A346" s="43">
        <v>46298</v>
      </c>
      <c r="B346" s="13" t="s">
        <v>142</v>
      </c>
      <c r="C346" s="13" t="s">
        <v>141</v>
      </c>
      <c r="D346" s="93">
        <v>9</v>
      </c>
      <c r="E346" s="93">
        <v>9</v>
      </c>
      <c r="F346" s="93" t="s">
        <v>403</v>
      </c>
      <c r="G346" s="96">
        <v>26</v>
      </c>
      <c r="H346" s="103">
        <v>0.5</v>
      </c>
      <c r="I346" s="93">
        <v>25.62</v>
      </c>
      <c r="J346" t="str">
        <f t="shared" si="5"/>
        <v>No</v>
      </c>
      <c r="K346" t="s">
        <v>4</v>
      </c>
    </row>
    <row r="347" spans="1:11" ht="16" hidden="1" customHeight="1" x14ac:dyDescent="0.2">
      <c r="A347" s="43">
        <v>46298</v>
      </c>
      <c r="B347" s="13" t="s">
        <v>142</v>
      </c>
      <c r="C347" s="13" t="s">
        <v>141</v>
      </c>
      <c r="D347" s="93">
        <v>9</v>
      </c>
      <c r="E347" s="93">
        <v>9</v>
      </c>
      <c r="F347" s="93" t="s">
        <v>403</v>
      </c>
      <c r="G347" s="96">
        <v>8</v>
      </c>
      <c r="H347" s="103">
        <v>0.2</v>
      </c>
      <c r="I347" s="93">
        <v>5.71</v>
      </c>
      <c r="J347" t="str">
        <f t="shared" si="5"/>
        <v>No</v>
      </c>
      <c r="K347" t="s">
        <v>89</v>
      </c>
    </row>
    <row r="348" spans="1:11" ht="16" hidden="1" customHeight="1" x14ac:dyDescent="0.2">
      <c r="A348" s="43">
        <v>46298</v>
      </c>
      <c r="B348" s="13" t="s">
        <v>134</v>
      </c>
      <c r="C348" s="13" t="s">
        <v>138</v>
      </c>
      <c r="D348" s="93">
        <v>9</v>
      </c>
      <c r="E348" s="93">
        <v>1</v>
      </c>
      <c r="F348" s="93" t="s">
        <v>320</v>
      </c>
      <c r="G348" s="96">
        <v>22</v>
      </c>
      <c r="H348" s="103">
        <v>0.5</v>
      </c>
      <c r="I348" s="93">
        <v>30</v>
      </c>
      <c r="J348" t="str">
        <f t="shared" si="5"/>
        <v>Yes</v>
      </c>
      <c r="K348" t="s">
        <v>4</v>
      </c>
    </row>
    <row r="349" spans="1:11" ht="16" hidden="1" customHeight="1" x14ac:dyDescent="0.2">
      <c r="A349" s="43">
        <v>46298</v>
      </c>
      <c r="B349" s="13" t="s">
        <v>134</v>
      </c>
      <c r="C349" s="13" t="s">
        <v>138</v>
      </c>
      <c r="D349" s="93">
        <v>9</v>
      </c>
      <c r="E349" s="93">
        <v>2</v>
      </c>
      <c r="F349" s="93" t="s">
        <v>404</v>
      </c>
      <c r="G349" s="96">
        <v>12</v>
      </c>
      <c r="H349" s="103">
        <v>0.5</v>
      </c>
      <c r="I349" s="93">
        <v>8.8000000000000007</v>
      </c>
      <c r="J349" t="str">
        <f t="shared" si="5"/>
        <v>No</v>
      </c>
      <c r="K349" t="s">
        <v>4</v>
      </c>
    </row>
    <row r="350" spans="1:11" ht="16" hidden="1" customHeight="1" x14ac:dyDescent="0.2">
      <c r="A350" s="43">
        <v>46298</v>
      </c>
      <c r="B350" s="13" t="s">
        <v>134</v>
      </c>
      <c r="C350" s="13" t="s">
        <v>138</v>
      </c>
      <c r="D350" s="93">
        <v>9</v>
      </c>
      <c r="E350" s="93">
        <v>12</v>
      </c>
      <c r="F350" s="93" t="s">
        <v>405</v>
      </c>
      <c r="G350" s="96">
        <v>19</v>
      </c>
      <c r="H350" s="103">
        <v>0.5</v>
      </c>
      <c r="I350" s="93">
        <v>19</v>
      </c>
      <c r="J350" t="str">
        <f t="shared" si="5"/>
        <v>Yes</v>
      </c>
      <c r="K350" t="s">
        <v>4</v>
      </c>
    </row>
    <row r="351" spans="1:11" ht="16" hidden="1" customHeight="1" x14ac:dyDescent="0.2">
      <c r="A351" s="43">
        <v>46298</v>
      </c>
      <c r="B351" s="13" t="s">
        <v>134</v>
      </c>
      <c r="C351" s="13" t="s">
        <v>138</v>
      </c>
      <c r="D351" s="93">
        <v>9</v>
      </c>
      <c r="E351" s="93">
        <v>13</v>
      </c>
      <c r="F351" s="93" t="s">
        <v>248</v>
      </c>
      <c r="G351" s="96">
        <v>18</v>
      </c>
      <c r="H351" s="103">
        <v>0.5</v>
      </c>
      <c r="I351" s="93">
        <v>21.67</v>
      </c>
      <c r="J351" t="str">
        <f t="shared" si="5"/>
        <v>Yes</v>
      </c>
      <c r="K351" t="s">
        <v>4</v>
      </c>
    </row>
    <row r="352" spans="1:11" ht="16" hidden="1" customHeight="1" x14ac:dyDescent="0.2">
      <c r="A352" s="43">
        <v>46298</v>
      </c>
      <c r="B352" s="13" t="s">
        <v>142</v>
      </c>
      <c r="C352" s="13" t="s">
        <v>141</v>
      </c>
      <c r="D352" s="93">
        <v>10</v>
      </c>
      <c r="E352" s="93">
        <v>1</v>
      </c>
      <c r="F352" s="93" t="s">
        <v>406</v>
      </c>
      <c r="G352" s="96">
        <v>24</v>
      </c>
      <c r="H352" s="103">
        <v>0.5</v>
      </c>
      <c r="I352" s="93">
        <v>24</v>
      </c>
      <c r="J352" t="str">
        <f t="shared" si="5"/>
        <v>Yes</v>
      </c>
      <c r="K352" t="s">
        <v>4</v>
      </c>
    </row>
    <row r="353" spans="1:11" ht="16" hidden="1" customHeight="1" x14ac:dyDescent="0.2">
      <c r="A353" s="43">
        <v>46298</v>
      </c>
      <c r="B353" s="13" t="s">
        <v>142</v>
      </c>
      <c r="C353" s="13" t="s">
        <v>141</v>
      </c>
      <c r="D353" s="93">
        <v>10</v>
      </c>
      <c r="E353" s="93">
        <v>1</v>
      </c>
      <c r="F353" s="93" t="s">
        <v>406</v>
      </c>
      <c r="G353" s="96">
        <v>6.4</v>
      </c>
      <c r="H353" s="103">
        <v>0.2</v>
      </c>
      <c r="I353" s="93">
        <v>4.4000000000000004</v>
      </c>
      <c r="J353" t="str">
        <f t="shared" si="5"/>
        <v>No</v>
      </c>
      <c r="K353" t="s">
        <v>89</v>
      </c>
    </row>
    <row r="354" spans="1:11" ht="16" hidden="1" customHeight="1" x14ac:dyDescent="0.2">
      <c r="A354" s="43">
        <v>46298</v>
      </c>
      <c r="B354" s="13" t="s">
        <v>142</v>
      </c>
      <c r="C354" s="13" t="s">
        <v>141</v>
      </c>
      <c r="D354" s="93">
        <v>10</v>
      </c>
      <c r="E354" s="93">
        <v>3</v>
      </c>
      <c r="F354" s="93" t="s">
        <v>407</v>
      </c>
      <c r="G354" s="96">
        <v>25</v>
      </c>
      <c r="H354" s="103">
        <v>0.5</v>
      </c>
      <c r="I354" s="93">
        <v>25.86</v>
      </c>
      <c r="J354" t="str">
        <f t="shared" si="5"/>
        <v>Yes</v>
      </c>
      <c r="K354" t="s">
        <v>4</v>
      </c>
    </row>
    <row r="355" spans="1:11" ht="16" hidden="1" customHeight="1" x14ac:dyDescent="0.2">
      <c r="A355" s="43">
        <v>46298</v>
      </c>
      <c r="B355" s="13" t="s">
        <v>142</v>
      </c>
      <c r="C355" s="13" t="s">
        <v>141</v>
      </c>
      <c r="D355" s="93">
        <v>10</v>
      </c>
      <c r="E355" s="93">
        <v>3</v>
      </c>
      <c r="F355" s="93" t="s">
        <v>407</v>
      </c>
      <c r="G355" s="96">
        <v>6.8</v>
      </c>
      <c r="H355" s="103">
        <v>0.2</v>
      </c>
      <c r="I355" s="93">
        <v>5.3</v>
      </c>
      <c r="J355" t="str">
        <f t="shared" si="5"/>
        <v>No</v>
      </c>
      <c r="K355" t="s">
        <v>89</v>
      </c>
    </row>
    <row r="356" spans="1:11" ht="16" hidden="1" customHeight="1" x14ac:dyDescent="0.2">
      <c r="A356" s="43">
        <v>46298</v>
      </c>
      <c r="B356" s="13" t="s">
        <v>134</v>
      </c>
      <c r="C356" s="13" t="s">
        <v>138</v>
      </c>
      <c r="D356" s="93">
        <v>10</v>
      </c>
      <c r="E356" s="93">
        <v>2</v>
      </c>
      <c r="F356" s="93" t="s">
        <v>408</v>
      </c>
      <c r="G356" s="96">
        <v>19</v>
      </c>
      <c r="H356" s="103">
        <v>0.5</v>
      </c>
      <c r="I356" s="93">
        <v>19.2</v>
      </c>
      <c r="J356" t="str">
        <f t="shared" si="5"/>
        <v>Yes</v>
      </c>
      <c r="K356" t="s">
        <v>4</v>
      </c>
    </row>
    <row r="357" spans="1:11" ht="16" hidden="1" customHeight="1" x14ac:dyDescent="0.2">
      <c r="A357" s="43">
        <v>46298</v>
      </c>
      <c r="B357" s="13" t="s">
        <v>134</v>
      </c>
      <c r="C357" s="13" t="s">
        <v>138</v>
      </c>
      <c r="D357" s="93">
        <v>10</v>
      </c>
      <c r="E357" s="93">
        <v>3</v>
      </c>
      <c r="F357" s="93" t="s">
        <v>409</v>
      </c>
      <c r="G357" s="96">
        <v>14</v>
      </c>
      <c r="H357" s="103">
        <v>0.5</v>
      </c>
      <c r="I357" s="93">
        <v>12.54</v>
      </c>
      <c r="J357" t="str">
        <f t="shared" si="5"/>
        <v>No</v>
      </c>
      <c r="K357" t="s">
        <v>4</v>
      </c>
    </row>
    <row r="358" spans="1:11" ht="16" hidden="1" customHeight="1" x14ac:dyDescent="0.2">
      <c r="A358" s="43">
        <v>46300</v>
      </c>
      <c r="B358" s="13" t="s">
        <v>142</v>
      </c>
      <c r="C358" s="13" t="s">
        <v>140</v>
      </c>
      <c r="D358" s="93">
        <v>1</v>
      </c>
      <c r="E358" s="93">
        <v>4</v>
      </c>
      <c r="F358" s="93" t="s">
        <v>410</v>
      </c>
      <c r="G358" s="96">
        <v>18.5</v>
      </c>
      <c r="H358" s="103">
        <v>0.5</v>
      </c>
      <c r="I358" s="93">
        <v>18.5</v>
      </c>
      <c r="J358" t="str">
        <f t="shared" si="5"/>
        <v>Yes</v>
      </c>
      <c r="K358" t="s">
        <v>4</v>
      </c>
    </row>
    <row r="359" spans="1:11" ht="16" hidden="1" customHeight="1" x14ac:dyDescent="0.2">
      <c r="A359" s="43">
        <v>46300</v>
      </c>
      <c r="B359" s="13" t="s">
        <v>142</v>
      </c>
      <c r="C359" s="13" t="s">
        <v>140</v>
      </c>
      <c r="D359" s="93">
        <v>1</v>
      </c>
      <c r="E359" s="93">
        <v>4</v>
      </c>
      <c r="F359" s="93" t="s">
        <v>410</v>
      </c>
      <c r="G359" s="96">
        <v>8.1999999999999993</v>
      </c>
      <c r="H359" s="103">
        <v>0.2</v>
      </c>
      <c r="I359" s="93">
        <v>6.1</v>
      </c>
      <c r="J359" t="str">
        <f t="shared" si="5"/>
        <v>No</v>
      </c>
      <c r="K359" t="s">
        <v>89</v>
      </c>
    </row>
    <row r="360" spans="1:11" ht="16" hidden="1" customHeight="1" x14ac:dyDescent="0.2">
      <c r="A360" s="43">
        <v>46300</v>
      </c>
      <c r="B360" s="13" t="s">
        <v>134</v>
      </c>
      <c r="C360" s="13" t="s">
        <v>135</v>
      </c>
      <c r="D360" s="93">
        <v>3</v>
      </c>
      <c r="E360" s="93">
        <v>1</v>
      </c>
      <c r="F360" s="93" t="s">
        <v>411</v>
      </c>
      <c r="G360" s="96">
        <v>11.5</v>
      </c>
      <c r="H360" s="103">
        <v>0.5</v>
      </c>
      <c r="I360" s="93">
        <v>11</v>
      </c>
      <c r="J360" t="str">
        <f t="shared" si="5"/>
        <v>No</v>
      </c>
      <c r="K360" t="s">
        <v>4</v>
      </c>
    </row>
    <row r="361" spans="1:11" ht="16" hidden="1" customHeight="1" x14ac:dyDescent="0.2">
      <c r="A361" s="43">
        <v>46300</v>
      </c>
      <c r="B361" s="13" t="s">
        <v>142</v>
      </c>
      <c r="C361" s="13" t="s">
        <v>140</v>
      </c>
      <c r="D361" s="93">
        <v>3</v>
      </c>
      <c r="E361" s="93">
        <v>6</v>
      </c>
      <c r="F361" s="93" t="s">
        <v>301</v>
      </c>
      <c r="G361" s="96">
        <v>13</v>
      </c>
      <c r="H361" s="103">
        <v>0.5</v>
      </c>
      <c r="I361" s="93">
        <v>13.55</v>
      </c>
      <c r="J361" t="str">
        <f t="shared" si="5"/>
        <v>Yes</v>
      </c>
      <c r="K361" t="s">
        <v>4</v>
      </c>
    </row>
    <row r="362" spans="1:11" ht="16" hidden="1" customHeight="1" x14ac:dyDescent="0.2">
      <c r="A362" s="43">
        <v>46300</v>
      </c>
      <c r="B362" s="13" t="s">
        <v>142</v>
      </c>
      <c r="C362" s="13" t="s">
        <v>140</v>
      </c>
      <c r="D362" s="93">
        <v>3</v>
      </c>
      <c r="E362" s="93">
        <v>6</v>
      </c>
      <c r="F362" s="93" t="s">
        <v>301</v>
      </c>
      <c r="G362" s="96">
        <v>2.88</v>
      </c>
      <c r="H362" s="103">
        <v>0.2</v>
      </c>
      <c r="I362" s="93">
        <v>2.98</v>
      </c>
      <c r="J362" t="str">
        <f t="shared" si="5"/>
        <v>Yes</v>
      </c>
      <c r="K362" t="s">
        <v>89</v>
      </c>
    </row>
    <row r="363" spans="1:11" ht="16" hidden="1" customHeight="1" x14ac:dyDescent="0.2">
      <c r="A363" s="43">
        <v>46300</v>
      </c>
      <c r="B363" s="13" t="s">
        <v>134</v>
      </c>
      <c r="C363" s="13" t="s">
        <v>135</v>
      </c>
      <c r="D363" s="93">
        <v>4</v>
      </c>
      <c r="E363" s="93">
        <v>3</v>
      </c>
      <c r="F363" s="93" t="s">
        <v>412</v>
      </c>
      <c r="G363" s="96">
        <v>28</v>
      </c>
      <c r="H363" s="103">
        <v>0.5</v>
      </c>
      <c r="I363" s="93">
        <v>22.46</v>
      </c>
      <c r="J363" t="str">
        <f t="shared" si="5"/>
        <v>No</v>
      </c>
      <c r="K363" t="s">
        <v>4</v>
      </c>
    </row>
    <row r="364" spans="1:11" ht="16" hidden="1" customHeight="1" x14ac:dyDescent="0.2">
      <c r="A364" s="43">
        <v>46300</v>
      </c>
      <c r="B364" s="13" t="s">
        <v>134</v>
      </c>
      <c r="C364" s="13" t="s">
        <v>135</v>
      </c>
      <c r="D364" s="93">
        <v>4</v>
      </c>
      <c r="E364" s="93">
        <v>5</v>
      </c>
      <c r="F364" s="93" t="s">
        <v>413</v>
      </c>
      <c r="G364" s="96">
        <v>10</v>
      </c>
      <c r="H364" s="103">
        <v>0.5</v>
      </c>
      <c r="I364" s="93">
        <v>9.44</v>
      </c>
      <c r="J364" t="str">
        <f t="shared" si="5"/>
        <v>No</v>
      </c>
      <c r="K364" t="s">
        <v>4</v>
      </c>
    </row>
    <row r="365" spans="1:11" ht="16" hidden="1" customHeight="1" x14ac:dyDescent="0.2">
      <c r="A365" s="43">
        <v>46300</v>
      </c>
      <c r="B365" s="13" t="s">
        <v>134</v>
      </c>
      <c r="C365" s="13" t="s">
        <v>135</v>
      </c>
      <c r="D365" s="93">
        <v>4</v>
      </c>
      <c r="E365" s="93">
        <v>6</v>
      </c>
      <c r="F365" s="93" t="s">
        <v>414</v>
      </c>
      <c r="G365" s="96">
        <v>13</v>
      </c>
      <c r="H365" s="103">
        <v>0.5</v>
      </c>
      <c r="I365" s="93">
        <v>13</v>
      </c>
      <c r="J365" t="str">
        <f t="shared" si="5"/>
        <v>Yes</v>
      </c>
      <c r="K365" t="s">
        <v>4</v>
      </c>
    </row>
    <row r="366" spans="1:11" ht="16" hidden="1" customHeight="1" x14ac:dyDescent="0.2">
      <c r="A366" s="43">
        <v>46300</v>
      </c>
      <c r="B366" s="13" t="s">
        <v>142</v>
      </c>
      <c r="C366" s="13" t="s">
        <v>140</v>
      </c>
      <c r="D366" s="93">
        <v>4</v>
      </c>
      <c r="E366" s="93">
        <v>11</v>
      </c>
      <c r="F366" s="93" t="s">
        <v>415</v>
      </c>
      <c r="G366" s="96">
        <v>28</v>
      </c>
      <c r="H366" s="103">
        <v>0.5</v>
      </c>
      <c r="I366" s="93">
        <v>28.29</v>
      </c>
      <c r="J366" t="str">
        <f t="shared" si="5"/>
        <v>Yes</v>
      </c>
      <c r="K366" t="s">
        <v>4</v>
      </c>
    </row>
    <row r="367" spans="1:11" ht="16" hidden="1" customHeight="1" x14ac:dyDescent="0.2">
      <c r="A367" s="43">
        <v>46300</v>
      </c>
      <c r="B367" s="13" t="s">
        <v>142</v>
      </c>
      <c r="C367" s="13" t="s">
        <v>140</v>
      </c>
      <c r="D367" s="93">
        <v>4</v>
      </c>
      <c r="E367" s="93">
        <v>11</v>
      </c>
      <c r="F367" s="93" t="s">
        <v>415</v>
      </c>
      <c r="G367" s="96">
        <v>6.4</v>
      </c>
      <c r="H367" s="103">
        <v>0.2</v>
      </c>
      <c r="I367" s="93">
        <v>4.4000000000000004</v>
      </c>
      <c r="J367" t="str">
        <f t="shared" si="5"/>
        <v>No</v>
      </c>
      <c r="K367" t="s">
        <v>89</v>
      </c>
    </row>
    <row r="368" spans="1:11" ht="16" hidden="1" customHeight="1" x14ac:dyDescent="0.2">
      <c r="A368" s="43">
        <v>46300</v>
      </c>
      <c r="B368" s="13" t="s">
        <v>134</v>
      </c>
      <c r="C368" s="13" t="s">
        <v>135</v>
      </c>
      <c r="D368" s="93">
        <v>5</v>
      </c>
      <c r="E368" s="93">
        <v>6</v>
      </c>
      <c r="F368" s="93" t="s">
        <v>416</v>
      </c>
      <c r="G368" s="96">
        <v>14</v>
      </c>
      <c r="H368" s="103">
        <v>0.5</v>
      </c>
      <c r="I368" s="93">
        <v>14</v>
      </c>
      <c r="J368" t="str">
        <f t="shared" si="5"/>
        <v>Yes</v>
      </c>
      <c r="K368" t="s">
        <v>4</v>
      </c>
    </row>
    <row r="369" spans="1:11" ht="16" hidden="1" customHeight="1" x14ac:dyDescent="0.2">
      <c r="A369" s="43">
        <v>46300</v>
      </c>
      <c r="B369" s="13" t="s">
        <v>134</v>
      </c>
      <c r="C369" s="13" t="s">
        <v>135</v>
      </c>
      <c r="D369" s="93">
        <v>6</v>
      </c>
      <c r="E369" s="93">
        <v>3</v>
      </c>
      <c r="F369" s="93" t="s">
        <v>417</v>
      </c>
      <c r="G369" s="96">
        <v>12.5</v>
      </c>
      <c r="H369" s="103">
        <v>0.5</v>
      </c>
      <c r="I369" s="93">
        <v>7.32</v>
      </c>
      <c r="J369" t="str">
        <f t="shared" si="5"/>
        <v>No</v>
      </c>
      <c r="K369" t="s">
        <v>4</v>
      </c>
    </row>
    <row r="370" spans="1:11" ht="16" hidden="1" customHeight="1" x14ac:dyDescent="0.2">
      <c r="A370" s="43">
        <v>46300</v>
      </c>
      <c r="B370" s="13" t="s">
        <v>134</v>
      </c>
      <c r="C370" s="13" t="s">
        <v>135</v>
      </c>
      <c r="D370" s="93">
        <v>6</v>
      </c>
      <c r="E370" s="93">
        <v>5</v>
      </c>
      <c r="F370" s="93" t="s">
        <v>418</v>
      </c>
      <c r="G370" s="96">
        <v>19</v>
      </c>
      <c r="H370" s="103">
        <v>0.5</v>
      </c>
      <c r="I370" s="93">
        <v>18.43</v>
      </c>
      <c r="J370" t="str">
        <f t="shared" si="5"/>
        <v>No</v>
      </c>
      <c r="K370" t="s">
        <v>4</v>
      </c>
    </row>
    <row r="371" spans="1:11" ht="16" hidden="1" customHeight="1" x14ac:dyDescent="0.2">
      <c r="A371" s="43">
        <v>46300</v>
      </c>
      <c r="B371" s="13" t="s">
        <v>134</v>
      </c>
      <c r="C371" s="13" t="s">
        <v>135</v>
      </c>
      <c r="D371" s="93">
        <v>6</v>
      </c>
      <c r="E371" s="93">
        <v>8</v>
      </c>
      <c r="F371" s="93" t="s">
        <v>419</v>
      </c>
      <c r="G371" s="96">
        <v>14</v>
      </c>
      <c r="H371" s="103">
        <v>0.5</v>
      </c>
      <c r="I371" s="93">
        <v>14</v>
      </c>
      <c r="J371" t="str">
        <f t="shared" si="5"/>
        <v>Yes</v>
      </c>
      <c r="K371" t="s">
        <v>4</v>
      </c>
    </row>
    <row r="372" spans="1:11" ht="16" hidden="1" customHeight="1" x14ac:dyDescent="0.2">
      <c r="A372" s="43">
        <v>46300</v>
      </c>
      <c r="B372" s="13" t="s">
        <v>134</v>
      </c>
      <c r="C372" s="13" t="s">
        <v>135</v>
      </c>
      <c r="D372" s="93">
        <v>6</v>
      </c>
      <c r="E372" s="93">
        <v>11</v>
      </c>
      <c r="F372" s="93" t="s">
        <v>420</v>
      </c>
      <c r="G372" s="96">
        <v>11</v>
      </c>
      <c r="H372" s="103">
        <v>0.5</v>
      </c>
      <c r="I372" s="93">
        <v>7.6</v>
      </c>
      <c r="J372" t="str">
        <f t="shared" si="5"/>
        <v>No</v>
      </c>
      <c r="K372" t="s">
        <v>4</v>
      </c>
    </row>
    <row r="373" spans="1:11" ht="16" hidden="1" customHeight="1" x14ac:dyDescent="0.2">
      <c r="A373" s="43">
        <v>46300</v>
      </c>
      <c r="B373" s="13" t="s">
        <v>134</v>
      </c>
      <c r="C373" s="13" t="s">
        <v>135</v>
      </c>
      <c r="D373" s="93">
        <v>6</v>
      </c>
      <c r="E373" s="93">
        <v>13</v>
      </c>
      <c r="F373" s="93" t="s">
        <v>421</v>
      </c>
      <c r="G373" s="96">
        <v>12.5</v>
      </c>
      <c r="H373" s="103">
        <v>0.5</v>
      </c>
      <c r="I373" s="93">
        <v>7.37</v>
      </c>
      <c r="J373" t="str">
        <f t="shared" si="5"/>
        <v>No</v>
      </c>
      <c r="K373" t="s">
        <v>4</v>
      </c>
    </row>
    <row r="374" spans="1:11" ht="16" hidden="1" customHeight="1" x14ac:dyDescent="0.2">
      <c r="A374" s="43">
        <v>46300</v>
      </c>
      <c r="B374" s="13" t="s">
        <v>142</v>
      </c>
      <c r="C374" s="13" t="s">
        <v>140</v>
      </c>
      <c r="D374" s="93">
        <v>6</v>
      </c>
      <c r="E374" s="93">
        <v>2</v>
      </c>
      <c r="F374" s="93" t="s">
        <v>422</v>
      </c>
      <c r="G374" s="96">
        <v>12</v>
      </c>
      <c r="H374" s="103">
        <v>0.5</v>
      </c>
      <c r="I374" s="93">
        <v>13.01</v>
      </c>
      <c r="J374" t="str">
        <f t="shared" si="5"/>
        <v>Yes</v>
      </c>
      <c r="K374" t="s">
        <v>4</v>
      </c>
    </row>
    <row r="375" spans="1:11" ht="16" hidden="1" customHeight="1" x14ac:dyDescent="0.2">
      <c r="A375" s="43">
        <v>46300</v>
      </c>
      <c r="B375" s="13" t="s">
        <v>142</v>
      </c>
      <c r="C375" s="13" t="s">
        <v>140</v>
      </c>
      <c r="D375" s="93">
        <v>6</v>
      </c>
      <c r="E375" s="93">
        <v>2</v>
      </c>
      <c r="F375" s="93" t="s">
        <v>422</v>
      </c>
      <c r="G375" s="96">
        <v>3.7</v>
      </c>
      <c r="H375" s="103">
        <v>0.2</v>
      </c>
      <c r="I375" s="93">
        <v>3.7</v>
      </c>
      <c r="J375" t="str">
        <f t="shared" si="5"/>
        <v>Yes</v>
      </c>
      <c r="K375" t="s">
        <v>89</v>
      </c>
    </row>
    <row r="376" spans="1:11" ht="16" hidden="1" customHeight="1" x14ac:dyDescent="0.2">
      <c r="A376" s="43">
        <v>46300</v>
      </c>
      <c r="B376" s="13" t="s">
        <v>142</v>
      </c>
      <c r="C376" s="13" t="s">
        <v>140</v>
      </c>
      <c r="D376" s="93">
        <v>6</v>
      </c>
      <c r="E376" s="93">
        <v>4</v>
      </c>
      <c r="F376" s="93" t="s">
        <v>423</v>
      </c>
      <c r="G376" s="96">
        <v>8.6</v>
      </c>
      <c r="H376" s="103">
        <v>0.5</v>
      </c>
      <c r="I376" s="93">
        <v>6.2</v>
      </c>
      <c r="J376" t="str">
        <f t="shared" si="5"/>
        <v>No</v>
      </c>
      <c r="K376" t="s">
        <v>4</v>
      </c>
    </row>
    <row r="377" spans="1:11" ht="16" hidden="1" customHeight="1" x14ac:dyDescent="0.2">
      <c r="A377" s="43">
        <v>46300</v>
      </c>
      <c r="B377" s="13" t="s">
        <v>142</v>
      </c>
      <c r="C377" s="13" t="s">
        <v>140</v>
      </c>
      <c r="D377" s="93">
        <v>6</v>
      </c>
      <c r="E377" s="93">
        <v>4</v>
      </c>
      <c r="F377" s="93" t="s">
        <v>423</v>
      </c>
      <c r="G377" s="96">
        <v>2.78</v>
      </c>
      <c r="H377" s="103">
        <v>0.2</v>
      </c>
      <c r="I377" s="93">
        <v>2.34</v>
      </c>
      <c r="J377" t="str">
        <f t="shared" si="5"/>
        <v>No</v>
      </c>
      <c r="K377" t="s">
        <v>89</v>
      </c>
    </row>
    <row r="378" spans="1:11" ht="16" hidden="1" customHeight="1" x14ac:dyDescent="0.2">
      <c r="A378" s="43">
        <v>46300</v>
      </c>
      <c r="B378" s="13" t="s">
        <v>142</v>
      </c>
      <c r="C378" s="13" t="s">
        <v>140</v>
      </c>
      <c r="D378" s="93">
        <v>6</v>
      </c>
      <c r="E378" s="93">
        <v>6</v>
      </c>
      <c r="F378" s="93" t="s">
        <v>424</v>
      </c>
      <c r="G378" s="96">
        <v>21</v>
      </c>
      <c r="H378" s="103">
        <v>0.5</v>
      </c>
      <c r="I378" s="93">
        <v>14.47</v>
      </c>
      <c r="J378" t="str">
        <f t="shared" si="5"/>
        <v>No</v>
      </c>
      <c r="K378" t="s">
        <v>4</v>
      </c>
    </row>
    <row r="379" spans="1:11" ht="16" hidden="1" customHeight="1" x14ac:dyDescent="0.2">
      <c r="A379" s="43">
        <v>46300</v>
      </c>
      <c r="B379" s="13" t="s">
        <v>142</v>
      </c>
      <c r="C379" s="13" t="s">
        <v>140</v>
      </c>
      <c r="D379" s="93">
        <v>6</v>
      </c>
      <c r="E379" s="93">
        <v>6</v>
      </c>
      <c r="F379" s="93" t="s">
        <v>424</v>
      </c>
      <c r="G379" s="96">
        <v>6.4</v>
      </c>
      <c r="H379" s="103">
        <v>0.2</v>
      </c>
      <c r="I379" s="93">
        <v>4.0999999999999996</v>
      </c>
      <c r="J379" t="str">
        <f t="shared" si="5"/>
        <v>No</v>
      </c>
      <c r="K379" t="s">
        <v>89</v>
      </c>
    </row>
    <row r="380" spans="1:11" ht="16" hidden="1" customHeight="1" x14ac:dyDescent="0.2">
      <c r="A380" s="43">
        <v>46300</v>
      </c>
      <c r="B380" s="13" t="s">
        <v>142</v>
      </c>
      <c r="C380" s="13" t="s">
        <v>140</v>
      </c>
      <c r="D380" s="93">
        <v>6</v>
      </c>
      <c r="E380" s="93">
        <v>9</v>
      </c>
      <c r="F380" s="93" t="s">
        <v>285</v>
      </c>
      <c r="G380" s="96">
        <v>18.5</v>
      </c>
      <c r="H380" s="103">
        <v>0.5</v>
      </c>
      <c r="I380" s="93">
        <v>25.26</v>
      </c>
      <c r="J380" t="str">
        <f t="shared" si="5"/>
        <v>Yes</v>
      </c>
      <c r="K380" t="s">
        <v>4</v>
      </c>
    </row>
    <row r="381" spans="1:11" ht="16" hidden="1" customHeight="1" x14ac:dyDescent="0.2">
      <c r="A381" s="43">
        <v>46300</v>
      </c>
      <c r="B381" s="13" t="s">
        <v>142</v>
      </c>
      <c r="C381" s="13" t="s">
        <v>140</v>
      </c>
      <c r="D381" s="93">
        <v>6</v>
      </c>
      <c r="E381" s="93">
        <v>9</v>
      </c>
      <c r="F381" s="93" t="s">
        <v>285</v>
      </c>
      <c r="G381" s="96">
        <v>5.6</v>
      </c>
      <c r="H381" s="103">
        <v>0.2</v>
      </c>
      <c r="I381" s="93">
        <v>5.92</v>
      </c>
      <c r="J381" t="str">
        <f t="shared" si="5"/>
        <v>Yes</v>
      </c>
      <c r="K381" t="s">
        <v>89</v>
      </c>
    </row>
    <row r="382" spans="1:11" ht="16" hidden="1" customHeight="1" x14ac:dyDescent="0.2">
      <c r="A382" s="43">
        <v>46300</v>
      </c>
      <c r="B382" s="13" t="s">
        <v>142</v>
      </c>
      <c r="C382" s="13" t="s">
        <v>140</v>
      </c>
      <c r="D382" s="93">
        <v>6</v>
      </c>
      <c r="E382" s="93">
        <v>11</v>
      </c>
      <c r="F382" s="93" t="s">
        <v>425</v>
      </c>
      <c r="G382" s="96">
        <v>30</v>
      </c>
      <c r="H382" s="103">
        <v>0.5</v>
      </c>
      <c r="I382" s="93">
        <v>29</v>
      </c>
      <c r="J382" t="str">
        <f t="shared" si="5"/>
        <v>No</v>
      </c>
      <c r="K382" t="s">
        <v>4</v>
      </c>
    </row>
    <row r="383" spans="1:11" ht="16" hidden="1" customHeight="1" x14ac:dyDescent="0.2">
      <c r="A383" s="43">
        <v>46300</v>
      </c>
      <c r="B383" s="13" t="s">
        <v>142</v>
      </c>
      <c r="C383" s="13" t="s">
        <v>140</v>
      </c>
      <c r="D383" s="93">
        <v>6</v>
      </c>
      <c r="E383" s="93">
        <v>11</v>
      </c>
      <c r="F383" s="93" t="s">
        <v>425</v>
      </c>
      <c r="G383" s="96">
        <v>9.1999999999999993</v>
      </c>
      <c r="H383" s="103">
        <v>0.2</v>
      </c>
      <c r="I383" s="93">
        <v>6.2</v>
      </c>
      <c r="J383" t="str">
        <f t="shared" si="5"/>
        <v>No</v>
      </c>
      <c r="K383" t="s">
        <v>89</v>
      </c>
    </row>
    <row r="384" spans="1:11" ht="16" hidden="1" customHeight="1" x14ac:dyDescent="0.2">
      <c r="A384" s="43">
        <v>46300</v>
      </c>
      <c r="B384" s="13" t="s">
        <v>134</v>
      </c>
      <c r="C384" s="13" t="s">
        <v>135</v>
      </c>
      <c r="D384" s="93">
        <v>7</v>
      </c>
      <c r="E384" s="93">
        <v>3</v>
      </c>
      <c r="F384" s="93" t="s">
        <v>426</v>
      </c>
      <c r="G384" s="96">
        <v>13.5</v>
      </c>
      <c r="H384" s="103">
        <v>0.5</v>
      </c>
      <c r="I384" s="93">
        <v>10.6</v>
      </c>
      <c r="J384" t="str">
        <f t="shared" si="5"/>
        <v>No</v>
      </c>
      <c r="K384" t="s">
        <v>4</v>
      </c>
    </row>
    <row r="385" spans="1:11" ht="16" hidden="1" customHeight="1" x14ac:dyDescent="0.2">
      <c r="A385" s="43">
        <v>46300</v>
      </c>
      <c r="B385" s="13" t="s">
        <v>134</v>
      </c>
      <c r="C385" s="13" t="s">
        <v>135</v>
      </c>
      <c r="D385" s="93">
        <v>7</v>
      </c>
      <c r="E385" s="93">
        <v>7</v>
      </c>
      <c r="F385" s="93" t="s">
        <v>326</v>
      </c>
      <c r="G385" s="96">
        <v>15</v>
      </c>
      <c r="H385" s="103">
        <v>0.5</v>
      </c>
      <c r="I385" s="93">
        <v>12.05</v>
      </c>
      <c r="J385" t="str">
        <f t="shared" ref="J385:J448" si="6">IF(I385&gt;=G385,"Yes","No")</f>
        <v>No</v>
      </c>
      <c r="K385" t="s">
        <v>4</v>
      </c>
    </row>
    <row r="386" spans="1:11" ht="16" hidden="1" customHeight="1" x14ac:dyDescent="0.2">
      <c r="A386" s="43">
        <v>46300</v>
      </c>
      <c r="B386" s="13" t="s">
        <v>142</v>
      </c>
      <c r="C386" s="13" t="s">
        <v>140</v>
      </c>
      <c r="D386" s="93">
        <v>7</v>
      </c>
      <c r="E386" s="93">
        <v>5</v>
      </c>
      <c r="F386" s="93" t="s">
        <v>427</v>
      </c>
      <c r="G386" s="96">
        <v>19.5</v>
      </c>
      <c r="H386" s="103">
        <v>0.5</v>
      </c>
      <c r="I386" s="93">
        <v>36</v>
      </c>
      <c r="J386" t="str">
        <f t="shared" si="6"/>
        <v>Yes</v>
      </c>
      <c r="K386" t="s">
        <v>4</v>
      </c>
    </row>
    <row r="387" spans="1:11" ht="16" hidden="1" customHeight="1" x14ac:dyDescent="0.2">
      <c r="A387" s="43">
        <v>46300</v>
      </c>
      <c r="B387" s="13" t="s">
        <v>142</v>
      </c>
      <c r="C387" s="13" t="s">
        <v>140</v>
      </c>
      <c r="D387" s="93">
        <v>7</v>
      </c>
      <c r="E387" s="93">
        <v>5</v>
      </c>
      <c r="F387" s="93" t="s">
        <v>427</v>
      </c>
      <c r="G387" s="96">
        <v>5.3</v>
      </c>
      <c r="H387" s="103">
        <v>0.2</v>
      </c>
      <c r="I387" s="93">
        <v>5.5</v>
      </c>
      <c r="J387" t="str">
        <f t="shared" si="6"/>
        <v>Yes</v>
      </c>
      <c r="K387" t="s">
        <v>89</v>
      </c>
    </row>
    <row r="388" spans="1:11" ht="16" hidden="1" customHeight="1" x14ac:dyDescent="0.2">
      <c r="A388" s="43">
        <v>46300</v>
      </c>
      <c r="B388" s="13" t="s">
        <v>142</v>
      </c>
      <c r="C388" s="13" t="s">
        <v>140</v>
      </c>
      <c r="D388" s="93">
        <v>7</v>
      </c>
      <c r="E388" s="93">
        <v>13</v>
      </c>
      <c r="F388" s="93" t="s">
        <v>428</v>
      </c>
      <c r="G388" s="96">
        <v>16.5</v>
      </c>
      <c r="H388" s="103">
        <v>0.5</v>
      </c>
      <c r="I388" s="93">
        <v>17.68</v>
      </c>
      <c r="J388" t="str">
        <f t="shared" si="6"/>
        <v>Yes</v>
      </c>
      <c r="K388" t="s">
        <v>4</v>
      </c>
    </row>
    <row r="389" spans="1:11" ht="16" hidden="1" customHeight="1" x14ac:dyDescent="0.2">
      <c r="A389" s="43">
        <v>46300</v>
      </c>
      <c r="B389" s="13" t="s">
        <v>142</v>
      </c>
      <c r="C389" s="13" t="s">
        <v>140</v>
      </c>
      <c r="D389" s="93">
        <v>7</v>
      </c>
      <c r="E389" s="93">
        <v>13</v>
      </c>
      <c r="F389" s="93" t="s">
        <v>428</v>
      </c>
      <c r="G389" s="96">
        <v>4.5</v>
      </c>
      <c r="H389" s="103">
        <v>0.2</v>
      </c>
      <c r="I389" s="93">
        <v>3.8</v>
      </c>
      <c r="J389" t="str">
        <f t="shared" si="6"/>
        <v>No</v>
      </c>
      <c r="K389" t="s">
        <v>89</v>
      </c>
    </row>
    <row r="390" spans="1:11" ht="16" hidden="1" customHeight="1" x14ac:dyDescent="0.2">
      <c r="A390" s="43">
        <v>46300</v>
      </c>
      <c r="B390" s="13" t="s">
        <v>134</v>
      </c>
      <c r="C390" s="13" t="s">
        <v>135</v>
      </c>
      <c r="D390" s="93">
        <v>8</v>
      </c>
      <c r="E390" s="93">
        <v>1</v>
      </c>
      <c r="F390" s="93" t="s">
        <v>429</v>
      </c>
      <c r="G390" s="96">
        <v>16.5</v>
      </c>
      <c r="H390" s="103">
        <v>0.5</v>
      </c>
      <c r="I390" s="93">
        <v>16</v>
      </c>
      <c r="J390" t="str">
        <f t="shared" si="6"/>
        <v>No</v>
      </c>
      <c r="K390" t="s">
        <v>4</v>
      </c>
    </row>
    <row r="391" spans="1:11" ht="16" hidden="1" customHeight="1" x14ac:dyDescent="0.2">
      <c r="A391" s="43">
        <v>46300</v>
      </c>
      <c r="B391" s="13" t="s">
        <v>134</v>
      </c>
      <c r="C391" s="13" t="s">
        <v>135</v>
      </c>
      <c r="D391" s="93">
        <v>8</v>
      </c>
      <c r="E391" s="93">
        <v>9</v>
      </c>
      <c r="F391" s="93" t="s">
        <v>430</v>
      </c>
      <c r="G391" s="96">
        <v>19</v>
      </c>
      <c r="H391" s="103">
        <v>0.5</v>
      </c>
      <c r="I391" s="93">
        <v>11</v>
      </c>
      <c r="J391" t="str">
        <f t="shared" si="6"/>
        <v>No</v>
      </c>
      <c r="K391" t="s">
        <v>4</v>
      </c>
    </row>
    <row r="392" spans="1:11" ht="16" hidden="1" customHeight="1" x14ac:dyDescent="0.2">
      <c r="A392" s="43">
        <v>46300</v>
      </c>
      <c r="B392" s="13" t="s">
        <v>134</v>
      </c>
      <c r="C392" s="13" t="s">
        <v>135</v>
      </c>
      <c r="D392" s="93">
        <v>8</v>
      </c>
      <c r="E392" s="93">
        <v>11</v>
      </c>
      <c r="F392" s="93" t="s">
        <v>132</v>
      </c>
      <c r="G392" s="96">
        <v>14</v>
      </c>
      <c r="H392" s="103">
        <v>0.5</v>
      </c>
      <c r="I392" s="93">
        <v>14.79</v>
      </c>
      <c r="J392" t="str">
        <f t="shared" si="6"/>
        <v>Yes</v>
      </c>
      <c r="K392" t="s">
        <v>4</v>
      </c>
    </row>
    <row r="393" spans="1:11" ht="16" hidden="1" customHeight="1" x14ac:dyDescent="0.2">
      <c r="A393" s="43">
        <v>46300</v>
      </c>
      <c r="B393" s="13" t="s">
        <v>134</v>
      </c>
      <c r="C393" s="13" t="s">
        <v>135</v>
      </c>
      <c r="D393" s="93">
        <v>8</v>
      </c>
      <c r="E393" s="93">
        <v>19</v>
      </c>
      <c r="F393" s="93" t="s">
        <v>431</v>
      </c>
      <c r="G393" s="96">
        <v>13</v>
      </c>
      <c r="H393" s="103">
        <v>0.5</v>
      </c>
      <c r="I393" s="93">
        <v>9.4600000000000009</v>
      </c>
      <c r="J393" t="str">
        <f t="shared" si="6"/>
        <v>No</v>
      </c>
      <c r="K393" t="s">
        <v>4</v>
      </c>
    </row>
    <row r="394" spans="1:11" ht="16" hidden="1" customHeight="1" x14ac:dyDescent="0.2">
      <c r="A394" s="43">
        <v>46300</v>
      </c>
      <c r="B394" s="13" t="s">
        <v>142</v>
      </c>
      <c r="C394" s="13" t="s">
        <v>140</v>
      </c>
      <c r="D394" s="93">
        <v>8</v>
      </c>
      <c r="E394" s="93">
        <v>16</v>
      </c>
      <c r="F394" s="93" t="s">
        <v>432</v>
      </c>
      <c r="G394" s="96">
        <v>11</v>
      </c>
      <c r="H394" s="103">
        <v>0.5</v>
      </c>
      <c r="I394" s="93">
        <v>10.5</v>
      </c>
      <c r="J394" t="str">
        <f t="shared" si="6"/>
        <v>No</v>
      </c>
      <c r="K394" t="s">
        <v>4</v>
      </c>
    </row>
    <row r="395" spans="1:11" ht="16" hidden="1" customHeight="1" x14ac:dyDescent="0.2">
      <c r="A395" s="43">
        <v>46300</v>
      </c>
      <c r="B395" s="13" t="s">
        <v>142</v>
      </c>
      <c r="C395" s="13" t="s">
        <v>140</v>
      </c>
      <c r="D395" s="93">
        <v>8</v>
      </c>
      <c r="E395" s="93">
        <v>16</v>
      </c>
      <c r="F395" s="93" t="s">
        <v>432</v>
      </c>
      <c r="G395" s="96">
        <v>3.4</v>
      </c>
      <c r="H395" s="103">
        <v>0.2</v>
      </c>
      <c r="I395" s="93">
        <v>2.79</v>
      </c>
      <c r="J395" t="str">
        <f t="shared" si="6"/>
        <v>No</v>
      </c>
      <c r="K395" t="s">
        <v>89</v>
      </c>
    </row>
    <row r="396" spans="1:11" ht="16" hidden="1" customHeight="1" x14ac:dyDescent="0.2">
      <c r="A396" s="43">
        <v>46302</v>
      </c>
      <c r="B396" s="104" t="s">
        <v>134</v>
      </c>
      <c r="C396" s="104" t="s">
        <v>138</v>
      </c>
      <c r="D396" s="93">
        <v>2</v>
      </c>
      <c r="E396" s="93">
        <v>7</v>
      </c>
      <c r="F396" s="105" t="s">
        <v>434</v>
      </c>
      <c r="G396" s="106">
        <v>12</v>
      </c>
      <c r="H396" s="103">
        <v>0.5</v>
      </c>
      <c r="I396">
        <v>12.5</v>
      </c>
      <c r="J396" t="str">
        <f t="shared" si="6"/>
        <v>Yes</v>
      </c>
      <c r="K396" t="s">
        <v>4</v>
      </c>
    </row>
    <row r="397" spans="1:11" ht="16" hidden="1" customHeight="1" x14ac:dyDescent="0.2">
      <c r="A397" s="43">
        <v>46302</v>
      </c>
      <c r="B397" s="104" t="s">
        <v>134</v>
      </c>
      <c r="C397" s="104" t="s">
        <v>138</v>
      </c>
      <c r="D397" s="93">
        <v>2</v>
      </c>
      <c r="E397" s="93">
        <v>11</v>
      </c>
      <c r="F397" s="105" t="s">
        <v>435</v>
      </c>
      <c r="G397" s="106">
        <v>12.5</v>
      </c>
      <c r="H397" s="103">
        <v>0.5</v>
      </c>
      <c r="I397">
        <v>8.6</v>
      </c>
      <c r="J397" t="str">
        <f t="shared" si="6"/>
        <v>No</v>
      </c>
      <c r="K397" t="s">
        <v>4</v>
      </c>
    </row>
    <row r="398" spans="1:11" ht="16" hidden="1" customHeight="1" x14ac:dyDescent="0.2">
      <c r="A398" s="43">
        <v>46302</v>
      </c>
      <c r="B398" s="104" t="s">
        <v>134</v>
      </c>
      <c r="C398" s="104" t="s">
        <v>138</v>
      </c>
      <c r="D398" s="93">
        <v>2</v>
      </c>
      <c r="E398" s="93">
        <v>12</v>
      </c>
      <c r="F398" s="105" t="s">
        <v>436</v>
      </c>
      <c r="G398" s="106">
        <v>17</v>
      </c>
      <c r="H398" s="103">
        <v>0.5</v>
      </c>
      <c r="I398">
        <v>12.35</v>
      </c>
      <c r="J398" t="str">
        <f t="shared" si="6"/>
        <v>No</v>
      </c>
      <c r="K398" t="s">
        <v>4</v>
      </c>
    </row>
    <row r="399" spans="1:11" ht="16" hidden="1" customHeight="1" x14ac:dyDescent="0.2">
      <c r="A399" s="43">
        <v>46302</v>
      </c>
      <c r="B399" s="104" t="s">
        <v>134</v>
      </c>
      <c r="C399" s="104" t="s">
        <v>138</v>
      </c>
      <c r="D399" s="93">
        <v>3</v>
      </c>
      <c r="E399" s="93">
        <v>6</v>
      </c>
      <c r="F399" s="105" t="s">
        <v>437</v>
      </c>
      <c r="G399" s="106">
        <v>7</v>
      </c>
      <c r="H399" s="103">
        <v>0.5</v>
      </c>
      <c r="I399">
        <v>6</v>
      </c>
      <c r="J399" t="str">
        <f t="shared" si="6"/>
        <v>No</v>
      </c>
      <c r="K399" t="s">
        <v>4</v>
      </c>
    </row>
    <row r="400" spans="1:11" ht="16" hidden="1" customHeight="1" x14ac:dyDescent="0.2">
      <c r="A400" s="43">
        <v>46302</v>
      </c>
      <c r="B400" s="104" t="s">
        <v>134</v>
      </c>
      <c r="C400" s="104" t="s">
        <v>138</v>
      </c>
      <c r="D400" s="93">
        <v>5</v>
      </c>
      <c r="E400" s="93">
        <v>2</v>
      </c>
      <c r="F400" s="105" t="s">
        <v>438</v>
      </c>
      <c r="G400" s="106">
        <v>10.5</v>
      </c>
      <c r="H400" s="103">
        <v>0.5</v>
      </c>
      <c r="I400">
        <v>6.58</v>
      </c>
      <c r="J400" t="str">
        <f t="shared" si="6"/>
        <v>No</v>
      </c>
      <c r="K400" t="s">
        <v>4</v>
      </c>
    </row>
    <row r="401" spans="1:11" ht="16" hidden="1" customHeight="1" x14ac:dyDescent="0.2">
      <c r="A401" s="43">
        <v>46302</v>
      </c>
      <c r="B401" s="104" t="s">
        <v>134</v>
      </c>
      <c r="C401" s="104" t="s">
        <v>138</v>
      </c>
      <c r="D401" s="93">
        <v>5</v>
      </c>
      <c r="E401" s="93">
        <v>4</v>
      </c>
      <c r="F401" s="105" t="s">
        <v>439</v>
      </c>
      <c r="G401" s="106">
        <v>11</v>
      </c>
      <c r="H401" s="103">
        <v>0.5</v>
      </c>
      <c r="I401">
        <v>11.37</v>
      </c>
      <c r="J401" t="str">
        <f t="shared" si="6"/>
        <v>Yes</v>
      </c>
      <c r="K401" t="s">
        <v>4</v>
      </c>
    </row>
    <row r="402" spans="1:11" ht="16" hidden="1" customHeight="1" x14ac:dyDescent="0.2">
      <c r="A402" s="43">
        <v>46302</v>
      </c>
      <c r="B402" s="104" t="s">
        <v>134</v>
      </c>
      <c r="C402" s="104" t="s">
        <v>138</v>
      </c>
      <c r="D402" s="93">
        <v>5</v>
      </c>
      <c r="E402" s="93">
        <v>7</v>
      </c>
      <c r="F402" s="105" t="s">
        <v>440</v>
      </c>
      <c r="G402" s="106">
        <v>11.5</v>
      </c>
      <c r="H402" s="103">
        <v>0.5</v>
      </c>
      <c r="I402">
        <v>11.5</v>
      </c>
      <c r="J402" t="str">
        <f t="shared" si="6"/>
        <v>Yes</v>
      </c>
      <c r="K402" t="s">
        <v>4</v>
      </c>
    </row>
    <row r="403" spans="1:11" ht="16" hidden="1" customHeight="1" x14ac:dyDescent="0.2">
      <c r="A403" s="43">
        <v>46302</v>
      </c>
      <c r="B403" s="104" t="s">
        <v>134</v>
      </c>
      <c r="C403" s="104" t="s">
        <v>138</v>
      </c>
      <c r="D403" s="93">
        <v>5</v>
      </c>
      <c r="E403" s="93">
        <v>10</v>
      </c>
      <c r="F403" s="105" t="s">
        <v>441</v>
      </c>
      <c r="G403" s="106">
        <v>17</v>
      </c>
      <c r="H403" s="103">
        <v>0.5</v>
      </c>
      <c r="I403">
        <v>11.57</v>
      </c>
      <c r="J403" t="str">
        <f t="shared" si="6"/>
        <v>No</v>
      </c>
      <c r="K403" t="s">
        <v>4</v>
      </c>
    </row>
    <row r="404" spans="1:11" ht="16" hidden="1" customHeight="1" x14ac:dyDescent="0.2">
      <c r="A404" s="43">
        <v>46302</v>
      </c>
      <c r="B404" s="104" t="s">
        <v>134</v>
      </c>
      <c r="C404" s="104" t="s">
        <v>138</v>
      </c>
      <c r="D404" s="93">
        <v>6</v>
      </c>
      <c r="E404" s="93">
        <v>6</v>
      </c>
      <c r="F404" s="105" t="s">
        <v>442</v>
      </c>
      <c r="G404" s="106">
        <v>9.1999999999999993</v>
      </c>
      <c r="H404" s="103">
        <v>0.5</v>
      </c>
      <c r="I404">
        <v>5.89</v>
      </c>
      <c r="J404" t="str">
        <f t="shared" si="6"/>
        <v>No</v>
      </c>
      <c r="K404" t="s">
        <v>4</v>
      </c>
    </row>
    <row r="405" spans="1:11" ht="16" hidden="1" customHeight="1" x14ac:dyDescent="0.2">
      <c r="A405" s="43">
        <v>46302</v>
      </c>
      <c r="B405" s="104" t="s">
        <v>134</v>
      </c>
      <c r="C405" s="104" t="s">
        <v>138</v>
      </c>
      <c r="D405" s="93">
        <v>6</v>
      </c>
      <c r="E405" s="93">
        <v>7</v>
      </c>
      <c r="F405" s="105" t="s">
        <v>443</v>
      </c>
      <c r="G405" s="106">
        <v>12.5</v>
      </c>
      <c r="H405" s="103">
        <v>0.5</v>
      </c>
      <c r="I405">
        <v>7.2</v>
      </c>
      <c r="J405" t="str">
        <f t="shared" si="6"/>
        <v>No</v>
      </c>
      <c r="K405" t="s">
        <v>4</v>
      </c>
    </row>
    <row r="406" spans="1:11" ht="16" hidden="1" customHeight="1" x14ac:dyDescent="0.2">
      <c r="A406" s="43">
        <v>46302</v>
      </c>
      <c r="B406" s="104" t="s">
        <v>134</v>
      </c>
      <c r="C406" s="104" t="s">
        <v>138</v>
      </c>
      <c r="D406" s="93">
        <v>6</v>
      </c>
      <c r="E406" s="93">
        <v>8</v>
      </c>
      <c r="F406" s="105" t="s">
        <v>444</v>
      </c>
      <c r="G406" s="106">
        <v>19</v>
      </c>
      <c r="H406" s="103">
        <v>0.5</v>
      </c>
      <c r="I406">
        <v>28.21</v>
      </c>
      <c r="J406" t="str">
        <f t="shared" si="6"/>
        <v>Yes</v>
      </c>
      <c r="K406" t="s">
        <v>4</v>
      </c>
    </row>
    <row r="407" spans="1:11" ht="16" hidden="1" customHeight="1" x14ac:dyDescent="0.2">
      <c r="A407" s="43">
        <v>46302</v>
      </c>
      <c r="B407" s="104" t="s">
        <v>134</v>
      </c>
      <c r="C407" s="104" t="s">
        <v>138</v>
      </c>
      <c r="D407" s="93">
        <v>7</v>
      </c>
      <c r="E407" s="93">
        <v>1</v>
      </c>
      <c r="F407" s="105" t="s">
        <v>445</v>
      </c>
      <c r="G407" s="106">
        <v>11</v>
      </c>
      <c r="H407" s="103">
        <v>0.5</v>
      </c>
      <c r="I407">
        <v>10.95</v>
      </c>
      <c r="J407" t="str">
        <f t="shared" si="6"/>
        <v>No</v>
      </c>
      <c r="K407" t="s">
        <v>4</v>
      </c>
    </row>
    <row r="408" spans="1:11" ht="16" hidden="1" customHeight="1" x14ac:dyDescent="0.2">
      <c r="A408" s="43">
        <v>46302</v>
      </c>
      <c r="B408" s="104" t="s">
        <v>134</v>
      </c>
      <c r="C408" s="104" t="s">
        <v>138</v>
      </c>
      <c r="D408" s="93">
        <v>7</v>
      </c>
      <c r="E408" s="93">
        <v>4</v>
      </c>
      <c r="F408" s="105" t="s">
        <v>446</v>
      </c>
      <c r="G408" s="106">
        <v>6.8</v>
      </c>
      <c r="H408" s="103">
        <v>0.5</v>
      </c>
      <c r="I408">
        <v>7.6</v>
      </c>
      <c r="J408" t="str">
        <f t="shared" si="6"/>
        <v>Yes</v>
      </c>
      <c r="K408" t="s">
        <v>4</v>
      </c>
    </row>
    <row r="409" spans="1:11" ht="16" hidden="1" customHeight="1" x14ac:dyDescent="0.2">
      <c r="A409" s="43">
        <v>46302</v>
      </c>
      <c r="B409" s="104" t="s">
        <v>134</v>
      </c>
      <c r="C409" s="104" t="s">
        <v>138</v>
      </c>
      <c r="D409" s="93">
        <v>7</v>
      </c>
      <c r="E409" s="93">
        <v>5</v>
      </c>
      <c r="F409" s="105" t="s">
        <v>447</v>
      </c>
      <c r="G409" s="106">
        <v>10.5</v>
      </c>
      <c r="H409" s="103">
        <v>0.5</v>
      </c>
      <c r="I409">
        <v>11</v>
      </c>
      <c r="J409" t="str">
        <f t="shared" si="6"/>
        <v>Yes</v>
      </c>
      <c r="K409" t="s">
        <v>4</v>
      </c>
    </row>
    <row r="410" spans="1:11" ht="16" hidden="1" customHeight="1" x14ac:dyDescent="0.2">
      <c r="A410" s="43">
        <v>46305</v>
      </c>
      <c r="B410" s="104" t="s">
        <v>134</v>
      </c>
      <c r="C410" s="104" t="s">
        <v>139</v>
      </c>
      <c r="D410" s="93">
        <v>1</v>
      </c>
      <c r="E410" s="93">
        <v>9</v>
      </c>
      <c r="F410" s="105" t="s">
        <v>448</v>
      </c>
      <c r="G410" s="106">
        <v>22</v>
      </c>
      <c r="H410" s="103">
        <v>0.5</v>
      </c>
      <c r="I410">
        <v>42.22</v>
      </c>
      <c r="J410" t="str">
        <f t="shared" si="6"/>
        <v>Yes</v>
      </c>
      <c r="K410" t="s">
        <v>4</v>
      </c>
    </row>
    <row r="411" spans="1:11" ht="16" hidden="1" customHeight="1" x14ac:dyDescent="0.2">
      <c r="A411" s="43">
        <v>46305</v>
      </c>
      <c r="B411" s="104" t="s">
        <v>134</v>
      </c>
      <c r="C411" s="104" t="s">
        <v>139</v>
      </c>
      <c r="D411" s="93">
        <v>1</v>
      </c>
      <c r="E411" s="93">
        <v>12</v>
      </c>
      <c r="F411" s="105" t="s">
        <v>217</v>
      </c>
      <c r="G411" s="106">
        <v>15.5</v>
      </c>
      <c r="H411" s="103">
        <v>0.5</v>
      </c>
      <c r="I411">
        <v>11.84</v>
      </c>
      <c r="J411" t="str">
        <f t="shared" si="6"/>
        <v>No</v>
      </c>
      <c r="K411" t="s">
        <v>4</v>
      </c>
    </row>
    <row r="412" spans="1:11" ht="16" hidden="1" customHeight="1" x14ac:dyDescent="0.2">
      <c r="A412" s="43">
        <v>46305</v>
      </c>
      <c r="B412" s="104" t="s">
        <v>134</v>
      </c>
      <c r="C412" s="104" t="s">
        <v>139</v>
      </c>
      <c r="D412" s="93">
        <v>2</v>
      </c>
      <c r="E412" s="93">
        <v>1</v>
      </c>
      <c r="F412" s="105" t="s">
        <v>345</v>
      </c>
      <c r="G412" s="106">
        <v>12.5</v>
      </c>
      <c r="H412" s="103">
        <v>0.5</v>
      </c>
      <c r="I412">
        <v>23</v>
      </c>
      <c r="J412" t="str">
        <f t="shared" si="6"/>
        <v>Yes</v>
      </c>
      <c r="K412" t="s">
        <v>4</v>
      </c>
    </row>
    <row r="413" spans="1:11" ht="16" hidden="1" customHeight="1" x14ac:dyDescent="0.2">
      <c r="A413" s="43">
        <v>46305</v>
      </c>
      <c r="B413" s="104" t="s">
        <v>134</v>
      </c>
      <c r="C413" s="104" t="s">
        <v>139</v>
      </c>
      <c r="D413" s="93">
        <v>2</v>
      </c>
      <c r="E413" s="93">
        <v>2</v>
      </c>
      <c r="F413" s="105" t="s">
        <v>449</v>
      </c>
      <c r="G413" s="106">
        <v>12</v>
      </c>
      <c r="H413" s="103">
        <v>0.5</v>
      </c>
      <c r="I413">
        <v>12.13</v>
      </c>
      <c r="J413" t="str">
        <f t="shared" si="6"/>
        <v>Yes</v>
      </c>
      <c r="K413" t="s">
        <v>4</v>
      </c>
    </row>
    <row r="414" spans="1:11" ht="16" hidden="1" customHeight="1" x14ac:dyDescent="0.2">
      <c r="A414" s="43">
        <v>46305</v>
      </c>
      <c r="B414" s="104" t="s">
        <v>134</v>
      </c>
      <c r="C414" s="104" t="s">
        <v>139</v>
      </c>
      <c r="D414" s="93">
        <v>2</v>
      </c>
      <c r="E414" s="93">
        <v>7</v>
      </c>
      <c r="F414" s="105" t="s">
        <v>450</v>
      </c>
      <c r="G414" s="106">
        <v>15.5</v>
      </c>
      <c r="H414" s="103">
        <v>0.5</v>
      </c>
      <c r="I414">
        <v>10.67</v>
      </c>
      <c r="J414" t="str">
        <f t="shared" si="6"/>
        <v>No</v>
      </c>
      <c r="K414" t="s">
        <v>4</v>
      </c>
    </row>
    <row r="415" spans="1:11" ht="16" hidden="1" customHeight="1" x14ac:dyDescent="0.2">
      <c r="A415" s="43">
        <v>46305</v>
      </c>
      <c r="B415" s="104" t="s">
        <v>134</v>
      </c>
      <c r="C415" s="104" t="s">
        <v>139</v>
      </c>
      <c r="D415" s="93">
        <v>2</v>
      </c>
      <c r="E415" s="93">
        <v>9</v>
      </c>
      <c r="F415" s="105" t="s">
        <v>451</v>
      </c>
      <c r="G415" s="106">
        <v>17</v>
      </c>
      <c r="H415" s="103">
        <v>0.5</v>
      </c>
      <c r="I415">
        <v>14.89</v>
      </c>
      <c r="J415" t="str">
        <f t="shared" si="6"/>
        <v>No</v>
      </c>
      <c r="K415" t="s">
        <v>4</v>
      </c>
    </row>
    <row r="416" spans="1:11" ht="16" hidden="1" customHeight="1" x14ac:dyDescent="0.2">
      <c r="A416" s="43">
        <v>46305</v>
      </c>
      <c r="B416" s="104" t="s">
        <v>134</v>
      </c>
      <c r="C416" s="104" t="s">
        <v>139</v>
      </c>
      <c r="D416" s="93">
        <v>2</v>
      </c>
      <c r="E416" s="93">
        <v>11</v>
      </c>
      <c r="F416" s="105" t="s">
        <v>452</v>
      </c>
      <c r="G416" s="106">
        <v>29</v>
      </c>
      <c r="H416" s="103">
        <v>0.5</v>
      </c>
      <c r="I416">
        <v>29</v>
      </c>
      <c r="J416" t="str">
        <f t="shared" si="6"/>
        <v>Yes</v>
      </c>
      <c r="K416" t="s">
        <v>4</v>
      </c>
    </row>
    <row r="417" spans="1:11" ht="16" hidden="1" customHeight="1" x14ac:dyDescent="0.2">
      <c r="A417" s="43">
        <v>46305</v>
      </c>
      <c r="B417" s="104" t="s">
        <v>142</v>
      </c>
      <c r="C417" s="104" t="s">
        <v>141</v>
      </c>
      <c r="D417" s="93">
        <v>2</v>
      </c>
      <c r="E417" s="93">
        <v>2</v>
      </c>
      <c r="F417" s="105" t="s">
        <v>187</v>
      </c>
      <c r="G417" s="106">
        <v>18.5</v>
      </c>
      <c r="H417" s="103">
        <v>0.5</v>
      </c>
      <c r="I417">
        <v>10.74</v>
      </c>
      <c r="J417" t="str">
        <f t="shared" si="6"/>
        <v>No</v>
      </c>
      <c r="K417" t="s">
        <v>4</v>
      </c>
    </row>
    <row r="418" spans="1:11" ht="16" hidden="1" customHeight="1" x14ac:dyDescent="0.2">
      <c r="A418" s="43">
        <v>46305</v>
      </c>
      <c r="B418" s="104" t="s">
        <v>142</v>
      </c>
      <c r="C418" s="104" t="s">
        <v>141</v>
      </c>
      <c r="D418" s="93">
        <v>2</v>
      </c>
      <c r="E418" s="93">
        <v>2</v>
      </c>
      <c r="F418" s="105" t="s">
        <v>187</v>
      </c>
      <c r="G418" s="106">
        <v>5.3</v>
      </c>
      <c r="H418" s="103">
        <v>0.2</v>
      </c>
      <c r="I418">
        <v>3.1</v>
      </c>
      <c r="J418" t="str">
        <f t="shared" si="6"/>
        <v>No</v>
      </c>
      <c r="K418" t="s">
        <v>89</v>
      </c>
    </row>
    <row r="419" spans="1:11" ht="16" hidden="1" customHeight="1" x14ac:dyDescent="0.2">
      <c r="A419" s="43">
        <v>46305</v>
      </c>
      <c r="B419" s="104" t="s">
        <v>142</v>
      </c>
      <c r="C419" s="104" t="s">
        <v>141</v>
      </c>
      <c r="D419" s="93">
        <v>2</v>
      </c>
      <c r="E419" s="93">
        <v>8</v>
      </c>
      <c r="F419" s="105" t="s">
        <v>453</v>
      </c>
      <c r="G419" s="106">
        <v>11</v>
      </c>
      <c r="H419" s="103">
        <v>0.5</v>
      </c>
      <c r="I419">
        <v>12.92</v>
      </c>
      <c r="J419" t="str">
        <f t="shared" si="6"/>
        <v>Yes</v>
      </c>
      <c r="K419" t="s">
        <v>4</v>
      </c>
    </row>
    <row r="420" spans="1:11" ht="16" hidden="1" customHeight="1" x14ac:dyDescent="0.2">
      <c r="A420" s="43">
        <v>46305</v>
      </c>
      <c r="B420" s="104" t="s">
        <v>134</v>
      </c>
      <c r="C420" s="104" t="s">
        <v>139</v>
      </c>
      <c r="D420" s="93">
        <v>3</v>
      </c>
      <c r="E420" s="93">
        <v>12</v>
      </c>
      <c r="F420" s="105" t="s">
        <v>349</v>
      </c>
      <c r="G420" s="106">
        <v>12.5</v>
      </c>
      <c r="H420" s="103">
        <v>0.5</v>
      </c>
      <c r="I420">
        <v>7.24</v>
      </c>
      <c r="J420" t="str">
        <f t="shared" si="6"/>
        <v>No</v>
      </c>
      <c r="K420" t="s">
        <v>4</v>
      </c>
    </row>
    <row r="421" spans="1:11" ht="16" hidden="1" customHeight="1" x14ac:dyDescent="0.2">
      <c r="A421" s="43">
        <v>46305</v>
      </c>
      <c r="B421" s="104" t="s">
        <v>142</v>
      </c>
      <c r="C421" s="104" t="s">
        <v>141</v>
      </c>
      <c r="D421" s="93">
        <v>3</v>
      </c>
      <c r="E421" s="93">
        <v>1</v>
      </c>
      <c r="F421" s="105" t="s">
        <v>454</v>
      </c>
      <c r="G421" s="106">
        <v>8.8000000000000007</v>
      </c>
      <c r="H421" s="103">
        <v>0.5</v>
      </c>
      <c r="I421">
        <v>11.5</v>
      </c>
      <c r="J421" t="str">
        <f t="shared" si="6"/>
        <v>Yes</v>
      </c>
      <c r="K421" t="s">
        <v>4</v>
      </c>
    </row>
    <row r="422" spans="1:11" ht="16" hidden="1" customHeight="1" x14ac:dyDescent="0.2">
      <c r="A422" s="43">
        <v>46305</v>
      </c>
      <c r="B422" s="104" t="s">
        <v>142</v>
      </c>
      <c r="C422" s="104" t="s">
        <v>141</v>
      </c>
      <c r="D422" s="93">
        <v>3</v>
      </c>
      <c r="E422" s="93">
        <v>10</v>
      </c>
      <c r="F422" s="105" t="s">
        <v>455</v>
      </c>
      <c r="G422" s="106">
        <v>16.5</v>
      </c>
      <c r="H422" s="103">
        <v>0.5</v>
      </c>
      <c r="I422">
        <v>32.9</v>
      </c>
      <c r="J422" t="str">
        <f t="shared" si="6"/>
        <v>Yes</v>
      </c>
      <c r="K422" t="s">
        <v>4</v>
      </c>
    </row>
    <row r="423" spans="1:11" ht="16" hidden="1" customHeight="1" x14ac:dyDescent="0.2">
      <c r="A423" s="43">
        <v>46305</v>
      </c>
      <c r="B423" s="104" t="s">
        <v>142</v>
      </c>
      <c r="C423" s="104" t="s">
        <v>141</v>
      </c>
      <c r="D423" s="93">
        <v>3</v>
      </c>
      <c r="E423" s="93">
        <v>10</v>
      </c>
      <c r="F423" s="105" t="s">
        <v>455</v>
      </c>
      <c r="G423" s="106">
        <v>4.5999999999999996</v>
      </c>
      <c r="H423" s="103">
        <v>0.2</v>
      </c>
      <c r="I423">
        <v>6.15</v>
      </c>
      <c r="J423" t="str">
        <f t="shared" si="6"/>
        <v>Yes</v>
      </c>
      <c r="K423" t="s">
        <v>89</v>
      </c>
    </row>
    <row r="424" spans="1:11" ht="16" hidden="1" customHeight="1" x14ac:dyDescent="0.2">
      <c r="A424" s="43">
        <v>46305</v>
      </c>
      <c r="B424" s="104" t="s">
        <v>142</v>
      </c>
      <c r="C424" s="104" t="s">
        <v>141</v>
      </c>
      <c r="D424" s="93">
        <v>3</v>
      </c>
      <c r="E424" s="93">
        <v>14</v>
      </c>
      <c r="F424" s="105" t="s">
        <v>163</v>
      </c>
      <c r="G424" s="106">
        <v>12</v>
      </c>
      <c r="H424" s="103">
        <v>0.5</v>
      </c>
      <c r="I424">
        <v>9.7100000000000009</v>
      </c>
      <c r="J424" t="str">
        <f t="shared" si="6"/>
        <v>No</v>
      </c>
      <c r="K424" t="s">
        <v>4</v>
      </c>
    </row>
    <row r="425" spans="1:11" ht="16" hidden="1" customHeight="1" x14ac:dyDescent="0.2">
      <c r="A425" s="43">
        <v>46305</v>
      </c>
      <c r="B425" s="104" t="s">
        <v>134</v>
      </c>
      <c r="C425" s="104" t="s">
        <v>139</v>
      </c>
      <c r="D425" s="93">
        <v>4</v>
      </c>
      <c r="E425" s="93">
        <v>6</v>
      </c>
      <c r="F425" s="105" t="s">
        <v>456</v>
      </c>
      <c r="G425" s="106">
        <v>11</v>
      </c>
      <c r="H425" s="103">
        <v>0.5</v>
      </c>
      <c r="I425">
        <v>10.5</v>
      </c>
      <c r="J425" t="str">
        <f t="shared" si="6"/>
        <v>No</v>
      </c>
      <c r="K425" t="s">
        <v>4</v>
      </c>
    </row>
    <row r="426" spans="1:11" ht="16" hidden="1" customHeight="1" x14ac:dyDescent="0.2">
      <c r="A426" s="43">
        <v>46305</v>
      </c>
      <c r="B426" s="104" t="s">
        <v>142</v>
      </c>
      <c r="C426" s="104" t="s">
        <v>141</v>
      </c>
      <c r="D426" s="93">
        <v>5</v>
      </c>
      <c r="E426" s="93">
        <v>4</v>
      </c>
      <c r="F426" s="105" t="s">
        <v>334</v>
      </c>
      <c r="G426" s="106">
        <v>16</v>
      </c>
      <c r="H426" s="103">
        <v>0.5</v>
      </c>
      <c r="I426">
        <v>36.450000000000003</v>
      </c>
      <c r="J426" t="str">
        <f t="shared" si="6"/>
        <v>Yes</v>
      </c>
      <c r="K426" t="s">
        <v>4</v>
      </c>
    </row>
    <row r="427" spans="1:11" ht="16" hidden="1" customHeight="1" x14ac:dyDescent="0.2">
      <c r="A427" s="43">
        <v>46305</v>
      </c>
      <c r="B427" s="104" t="s">
        <v>142</v>
      </c>
      <c r="C427" s="104" t="s">
        <v>141</v>
      </c>
      <c r="D427" s="93">
        <v>5</v>
      </c>
      <c r="E427" s="93">
        <v>4</v>
      </c>
      <c r="F427" s="105" t="s">
        <v>334</v>
      </c>
      <c r="G427" s="106">
        <v>4.0999999999999996</v>
      </c>
      <c r="H427" s="103">
        <v>0.2</v>
      </c>
      <c r="I427">
        <v>7.2</v>
      </c>
      <c r="J427" t="str">
        <f t="shared" si="6"/>
        <v>Yes</v>
      </c>
      <c r="K427" t="s">
        <v>89</v>
      </c>
    </row>
    <row r="428" spans="1:11" ht="16" hidden="1" customHeight="1" x14ac:dyDescent="0.2">
      <c r="A428" s="43">
        <v>46305</v>
      </c>
      <c r="B428" s="104" t="s">
        <v>142</v>
      </c>
      <c r="C428" s="104" t="s">
        <v>141</v>
      </c>
      <c r="D428" s="93">
        <v>5</v>
      </c>
      <c r="E428" s="93">
        <v>7</v>
      </c>
      <c r="F428" s="105" t="s">
        <v>457</v>
      </c>
      <c r="G428" s="106">
        <v>23</v>
      </c>
      <c r="H428" s="103">
        <v>0.5</v>
      </c>
      <c r="I428">
        <v>19.91</v>
      </c>
      <c r="J428" t="str">
        <f t="shared" si="6"/>
        <v>No</v>
      </c>
      <c r="K428" t="s">
        <v>4</v>
      </c>
    </row>
    <row r="429" spans="1:11" ht="16" hidden="1" customHeight="1" x14ac:dyDescent="0.2">
      <c r="A429" s="43">
        <v>46305</v>
      </c>
      <c r="B429" s="104" t="s">
        <v>142</v>
      </c>
      <c r="C429" s="104" t="s">
        <v>141</v>
      </c>
      <c r="D429" s="93">
        <v>5</v>
      </c>
      <c r="E429" s="93">
        <v>7</v>
      </c>
      <c r="F429" s="105" t="s">
        <v>457</v>
      </c>
      <c r="G429" s="106">
        <v>5.7</v>
      </c>
      <c r="H429" s="103">
        <v>0.2</v>
      </c>
      <c r="I429">
        <v>4.0999999999999996</v>
      </c>
      <c r="J429" t="str">
        <f t="shared" si="6"/>
        <v>No</v>
      </c>
      <c r="K429" t="s">
        <v>89</v>
      </c>
    </row>
    <row r="430" spans="1:11" ht="16" hidden="1" customHeight="1" x14ac:dyDescent="0.2">
      <c r="A430" s="43">
        <v>46305</v>
      </c>
      <c r="B430" s="104" t="s">
        <v>142</v>
      </c>
      <c r="C430" s="104" t="s">
        <v>141</v>
      </c>
      <c r="D430" s="93">
        <v>5</v>
      </c>
      <c r="E430" s="93">
        <v>10</v>
      </c>
      <c r="F430" s="105" t="s">
        <v>458</v>
      </c>
      <c r="G430" s="106">
        <v>18</v>
      </c>
      <c r="H430" s="103">
        <v>0.5</v>
      </c>
      <c r="I430">
        <v>20</v>
      </c>
      <c r="J430" t="str">
        <f t="shared" si="6"/>
        <v>Yes</v>
      </c>
      <c r="K430" t="s">
        <v>4</v>
      </c>
    </row>
    <row r="431" spans="1:11" ht="16" hidden="1" customHeight="1" x14ac:dyDescent="0.2">
      <c r="A431" s="43">
        <v>46305</v>
      </c>
      <c r="B431" s="104" t="s">
        <v>142</v>
      </c>
      <c r="C431" s="104" t="s">
        <v>141</v>
      </c>
      <c r="D431" s="93">
        <v>5</v>
      </c>
      <c r="E431" s="93">
        <v>10</v>
      </c>
      <c r="F431" s="105" t="s">
        <v>458</v>
      </c>
      <c r="G431" s="106">
        <v>4.5</v>
      </c>
      <c r="H431" s="103">
        <v>0.2</v>
      </c>
      <c r="I431">
        <v>4.5</v>
      </c>
      <c r="J431" t="str">
        <f t="shared" si="6"/>
        <v>Yes</v>
      </c>
      <c r="K431" t="s">
        <v>89</v>
      </c>
    </row>
    <row r="432" spans="1:11" ht="16" hidden="1" customHeight="1" x14ac:dyDescent="0.2">
      <c r="A432" s="43">
        <v>46305</v>
      </c>
      <c r="B432" s="104" t="s">
        <v>142</v>
      </c>
      <c r="C432" s="104" t="s">
        <v>141</v>
      </c>
      <c r="D432" s="93">
        <v>5</v>
      </c>
      <c r="E432" s="93">
        <v>12</v>
      </c>
      <c r="F432" s="105" t="s">
        <v>242</v>
      </c>
      <c r="G432" s="106">
        <v>8.4</v>
      </c>
      <c r="H432" s="103">
        <v>0.5</v>
      </c>
      <c r="I432">
        <v>8.33</v>
      </c>
      <c r="J432" t="str">
        <f t="shared" si="6"/>
        <v>No</v>
      </c>
      <c r="K432" t="s">
        <v>4</v>
      </c>
    </row>
    <row r="433" spans="1:11" ht="16" hidden="1" customHeight="1" x14ac:dyDescent="0.2">
      <c r="A433" s="43">
        <v>46305</v>
      </c>
      <c r="B433" s="104" t="s">
        <v>134</v>
      </c>
      <c r="C433" s="104" t="s">
        <v>139</v>
      </c>
      <c r="D433" s="93">
        <v>6</v>
      </c>
      <c r="E433" s="93">
        <v>2</v>
      </c>
      <c r="F433" s="105" t="s">
        <v>459</v>
      </c>
      <c r="G433" s="106">
        <v>29</v>
      </c>
      <c r="H433" s="103">
        <v>0.5</v>
      </c>
      <c r="I433">
        <v>36.799999999999997</v>
      </c>
      <c r="J433" t="str">
        <f t="shared" si="6"/>
        <v>Yes</v>
      </c>
      <c r="K433" t="s">
        <v>4</v>
      </c>
    </row>
    <row r="434" spans="1:11" ht="16" hidden="1" customHeight="1" x14ac:dyDescent="0.2">
      <c r="A434" s="43">
        <v>46305</v>
      </c>
      <c r="B434" s="104" t="s">
        <v>134</v>
      </c>
      <c r="C434" s="104" t="s">
        <v>139</v>
      </c>
      <c r="D434" s="93">
        <v>6</v>
      </c>
      <c r="E434" s="93">
        <v>3</v>
      </c>
      <c r="F434" s="105" t="s">
        <v>257</v>
      </c>
      <c r="G434" s="106">
        <v>19</v>
      </c>
      <c r="H434" s="103">
        <v>0.5</v>
      </c>
      <c r="I434">
        <v>22.5</v>
      </c>
      <c r="J434" t="str">
        <f t="shared" si="6"/>
        <v>Yes</v>
      </c>
      <c r="K434" t="s">
        <v>4</v>
      </c>
    </row>
    <row r="435" spans="1:11" ht="16" hidden="1" customHeight="1" x14ac:dyDescent="0.2">
      <c r="A435" s="43">
        <v>46305</v>
      </c>
      <c r="B435" s="104" t="s">
        <v>134</v>
      </c>
      <c r="C435" s="104" t="s">
        <v>139</v>
      </c>
      <c r="D435" s="93">
        <v>6</v>
      </c>
      <c r="E435" s="93">
        <v>5</v>
      </c>
      <c r="F435" s="105" t="s">
        <v>460</v>
      </c>
      <c r="G435" s="106">
        <v>16</v>
      </c>
      <c r="H435" s="103">
        <v>0.5</v>
      </c>
      <c r="I435">
        <v>29</v>
      </c>
      <c r="J435" t="str">
        <f t="shared" si="6"/>
        <v>Yes</v>
      </c>
      <c r="K435" t="s">
        <v>4</v>
      </c>
    </row>
    <row r="436" spans="1:11" ht="16" hidden="1" customHeight="1" x14ac:dyDescent="0.2">
      <c r="A436" s="43">
        <v>46305</v>
      </c>
      <c r="B436" s="104" t="s">
        <v>142</v>
      </c>
      <c r="C436" s="104" t="s">
        <v>141</v>
      </c>
      <c r="D436" s="93">
        <v>6</v>
      </c>
      <c r="E436" s="93">
        <v>10</v>
      </c>
      <c r="F436" s="105" t="s">
        <v>461</v>
      </c>
      <c r="G436" s="106">
        <v>15</v>
      </c>
      <c r="H436" s="103">
        <v>0.5</v>
      </c>
      <c r="I436">
        <v>22.61</v>
      </c>
      <c r="J436" t="str">
        <f t="shared" si="6"/>
        <v>Yes</v>
      </c>
      <c r="K436" t="s">
        <v>4</v>
      </c>
    </row>
    <row r="437" spans="1:11" ht="16" hidden="1" customHeight="1" x14ac:dyDescent="0.2">
      <c r="A437" s="43">
        <v>46305</v>
      </c>
      <c r="B437" s="104" t="s">
        <v>142</v>
      </c>
      <c r="C437" s="104" t="s">
        <v>141</v>
      </c>
      <c r="D437" s="93">
        <v>6</v>
      </c>
      <c r="E437" s="93">
        <v>10</v>
      </c>
      <c r="F437" s="105" t="s">
        <v>461</v>
      </c>
      <c r="G437" s="106">
        <v>4.3</v>
      </c>
      <c r="H437" s="103">
        <v>0.2</v>
      </c>
      <c r="I437">
        <v>4.63</v>
      </c>
      <c r="J437" t="str">
        <f t="shared" si="6"/>
        <v>Yes</v>
      </c>
      <c r="K437" t="s">
        <v>89</v>
      </c>
    </row>
    <row r="438" spans="1:11" ht="16" hidden="1" customHeight="1" x14ac:dyDescent="0.2">
      <c r="A438" s="43">
        <v>46305</v>
      </c>
      <c r="B438" s="104" t="s">
        <v>142</v>
      </c>
      <c r="C438" s="104" t="s">
        <v>141</v>
      </c>
      <c r="D438" s="93">
        <v>6</v>
      </c>
      <c r="E438" s="93">
        <v>11</v>
      </c>
      <c r="F438" s="105" t="s">
        <v>462</v>
      </c>
      <c r="G438" s="106">
        <v>13.5</v>
      </c>
      <c r="H438" s="103">
        <v>0.5</v>
      </c>
      <c r="I438">
        <v>17.47</v>
      </c>
      <c r="J438" t="str">
        <f t="shared" si="6"/>
        <v>Yes</v>
      </c>
      <c r="K438" t="s">
        <v>4</v>
      </c>
    </row>
    <row r="439" spans="1:11" ht="16" hidden="1" customHeight="1" x14ac:dyDescent="0.2">
      <c r="A439" s="43">
        <v>46305</v>
      </c>
      <c r="B439" s="104" t="s">
        <v>142</v>
      </c>
      <c r="C439" s="104" t="s">
        <v>141</v>
      </c>
      <c r="D439" s="93">
        <v>8</v>
      </c>
      <c r="E439" s="93">
        <v>1</v>
      </c>
      <c r="F439" s="105" t="s">
        <v>463</v>
      </c>
      <c r="G439" s="106">
        <v>8.4</v>
      </c>
      <c r="H439" s="103">
        <v>0.5</v>
      </c>
      <c r="I439">
        <v>7.8</v>
      </c>
      <c r="J439" t="str">
        <f t="shared" si="6"/>
        <v>No</v>
      </c>
      <c r="K439" t="s">
        <v>4</v>
      </c>
    </row>
    <row r="440" spans="1:11" ht="16" hidden="1" customHeight="1" x14ac:dyDescent="0.2">
      <c r="A440" s="43">
        <v>46305</v>
      </c>
      <c r="B440" s="104" t="s">
        <v>142</v>
      </c>
      <c r="C440" s="104" t="s">
        <v>141</v>
      </c>
      <c r="D440" s="93">
        <v>8</v>
      </c>
      <c r="E440" s="93">
        <v>5</v>
      </c>
      <c r="F440" s="105" t="s">
        <v>464</v>
      </c>
      <c r="G440" s="106">
        <v>13.5</v>
      </c>
      <c r="H440" s="103">
        <v>0.5</v>
      </c>
      <c r="I440">
        <v>18</v>
      </c>
      <c r="J440" t="str">
        <f t="shared" si="6"/>
        <v>Yes</v>
      </c>
      <c r="K440" t="s">
        <v>4</v>
      </c>
    </row>
    <row r="441" spans="1:11" ht="16" hidden="1" customHeight="1" x14ac:dyDescent="0.2">
      <c r="A441" s="43">
        <v>46305</v>
      </c>
      <c r="B441" s="104" t="s">
        <v>134</v>
      </c>
      <c r="C441" s="104" t="s">
        <v>139</v>
      </c>
      <c r="D441" s="93">
        <v>9</v>
      </c>
      <c r="E441" s="93">
        <v>2</v>
      </c>
      <c r="F441" s="105" t="s">
        <v>465</v>
      </c>
      <c r="G441" s="106">
        <v>12.5</v>
      </c>
      <c r="H441" s="103">
        <v>0.5</v>
      </c>
      <c r="I441">
        <v>19.22</v>
      </c>
      <c r="J441" t="str">
        <f t="shared" si="6"/>
        <v>Yes</v>
      </c>
      <c r="K441" t="s">
        <v>4</v>
      </c>
    </row>
    <row r="442" spans="1:11" ht="16" hidden="1" customHeight="1" x14ac:dyDescent="0.2">
      <c r="A442" s="43">
        <v>46305</v>
      </c>
      <c r="B442" s="104" t="s">
        <v>134</v>
      </c>
      <c r="C442" s="104" t="s">
        <v>139</v>
      </c>
      <c r="D442" s="93">
        <v>9</v>
      </c>
      <c r="E442" s="93">
        <v>13</v>
      </c>
      <c r="F442" s="105" t="s">
        <v>466</v>
      </c>
      <c r="G442" s="106">
        <v>15.5</v>
      </c>
      <c r="H442" s="103">
        <v>0.5</v>
      </c>
      <c r="I442">
        <v>13.35</v>
      </c>
      <c r="J442" t="str">
        <f t="shared" si="6"/>
        <v>No</v>
      </c>
      <c r="K442" t="s">
        <v>4</v>
      </c>
    </row>
    <row r="443" spans="1:11" ht="16" hidden="1" customHeight="1" x14ac:dyDescent="0.2">
      <c r="A443" s="43">
        <v>46305</v>
      </c>
      <c r="B443" s="104" t="s">
        <v>142</v>
      </c>
      <c r="C443" s="104" t="s">
        <v>141</v>
      </c>
      <c r="D443" s="93">
        <v>9</v>
      </c>
      <c r="E443" s="93">
        <v>5</v>
      </c>
      <c r="F443" s="105" t="s">
        <v>227</v>
      </c>
      <c r="G443" s="106">
        <v>19</v>
      </c>
      <c r="H443" s="103">
        <v>0.5</v>
      </c>
      <c r="I443">
        <v>21</v>
      </c>
      <c r="J443" t="str">
        <f t="shared" si="6"/>
        <v>Yes</v>
      </c>
      <c r="K443" t="s">
        <v>4</v>
      </c>
    </row>
    <row r="444" spans="1:11" ht="16" hidden="1" customHeight="1" x14ac:dyDescent="0.2">
      <c r="A444" s="43">
        <v>46305</v>
      </c>
      <c r="B444" s="104" t="s">
        <v>142</v>
      </c>
      <c r="C444" s="104" t="s">
        <v>141</v>
      </c>
      <c r="D444" s="93">
        <v>9</v>
      </c>
      <c r="E444" s="93">
        <v>5</v>
      </c>
      <c r="F444" s="105" t="s">
        <v>227</v>
      </c>
      <c r="G444" s="106">
        <v>5.5</v>
      </c>
      <c r="H444" s="103">
        <v>0.2</v>
      </c>
      <c r="I444">
        <v>5.2</v>
      </c>
      <c r="J444" t="str">
        <f t="shared" si="6"/>
        <v>No</v>
      </c>
      <c r="K444" t="s">
        <v>89</v>
      </c>
    </row>
    <row r="445" spans="1:11" ht="16" hidden="1" customHeight="1" x14ac:dyDescent="0.2">
      <c r="A445" s="43">
        <v>46305</v>
      </c>
      <c r="B445" s="104" t="s">
        <v>142</v>
      </c>
      <c r="C445" s="104" t="s">
        <v>141</v>
      </c>
      <c r="D445" s="93">
        <v>9</v>
      </c>
      <c r="E445" s="93">
        <v>9</v>
      </c>
      <c r="F445" s="105" t="s">
        <v>467</v>
      </c>
      <c r="G445" s="106">
        <v>26</v>
      </c>
      <c r="H445" s="103">
        <v>0.5</v>
      </c>
      <c r="I445">
        <v>21.23</v>
      </c>
      <c r="J445" t="str">
        <f t="shared" si="6"/>
        <v>No</v>
      </c>
      <c r="K445" t="s">
        <v>4</v>
      </c>
    </row>
    <row r="446" spans="1:11" ht="16" hidden="1" customHeight="1" x14ac:dyDescent="0.2">
      <c r="A446" s="43">
        <v>46305</v>
      </c>
      <c r="B446" s="104" t="s">
        <v>142</v>
      </c>
      <c r="C446" s="104" t="s">
        <v>141</v>
      </c>
      <c r="D446" s="93">
        <v>9</v>
      </c>
      <c r="E446" s="93">
        <v>9</v>
      </c>
      <c r="F446" s="105" t="s">
        <v>467</v>
      </c>
      <c r="G446" s="106">
        <v>7.2</v>
      </c>
      <c r="H446" s="103">
        <v>0.2</v>
      </c>
      <c r="I446">
        <v>6</v>
      </c>
      <c r="J446" t="str">
        <f t="shared" si="6"/>
        <v>No</v>
      </c>
      <c r="K446" t="s">
        <v>89</v>
      </c>
    </row>
    <row r="447" spans="1:11" ht="16" hidden="1" customHeight="1" x14ac:dyDescent="0.2">
      <c r="A447" s="43">
        <v>46305</v>
      </c>
      <c r="B447" s="104" t="s">
        <v>142</v>
      </c>
      <c r="C447" s="104" t="s">
        <v>141</v>
      </c>
      <c r="D447" s="93">
        <v>9</v>
      </c>
      <c r="E447" s="93">
        <v>11</v>
      </c>
      <c r="F447" s="105" t="s">
        <v>155</v>
      </c>
      <c r="G447" s="106">
        <v>22</v>
      </c>
      <c r="H447" s="103">
        <v>0.5</v>
      </c>
      <c r="I447">
        <v>10.5</v>
      </c>
      <c r="J447" t="str">
        <f t="shared" si="6"/>
        <v>No</v>
      </c>
      <c r="K447" t="s">
        <v>4</v>
      </c>
    </row>
    <row r="448" spans="1:11" ht="16" hidden="1" customHeight="1" x14ac:dyDescent="0.2">
      <c r="A448" s="43">
        <v>46305</v>
      </c>
      <c r="B448" s="104" t="s">
        <v>142</v>
      </c>
      <c r="C448" s="104" t="s">
        <v>141</v>
      </c>
      <c r="D448" s="93">
        <v>9</v>
      </c>
      <c r="E448" s="93">
        <v>11</v>
      </c>
      <c r="F448" s="105" t="s">
        <v>155</v>
      </c>
      <c r="G448" s="106">
        <v>6.6</v>
      </c>
      <c r="H448" s="103">
        <v>0.2</v>
      </c>
      <c r="I448">
        <v>3.7</v>
      </c>
      <c r="J448" t="str">
        <f t="shared" si="6"/>
        <v>No</v>
      </c>
      <c r="K448" t="s">
        <v>89</v>
      </c>
    </row>
    <row r="449" spans="1:11" ht="16" hidden="1" customHeight="1" x14ac:dyDescent="0.2">
      <c r="A449" s="43">
        <v>46305</v>
      </c>
      <c r="B449" s="104" t="s">
        <v>134</v>
      </c>
      <c r="C449" s="104" t="s">
        <v>139</v>
      </c>
      <c r="D449" s="93">
        <v>10</v>
      </c>
      <c r="E449" s="93">
        <v>5</v>
      </c>
      <c r="F449" s="105" t="s">
        <v>468</v>
      </c>
      <c r="G449" s="106">
        <v>17</v>
      </c>
      <c r="H449" s="103">
        <v>0.5</v>
      </c>
      <c r="I449">
        <v>22.79</v>
      </c>
      <c r="J449" t="str">
        <f t="shared" ref="J449:J460" si="7">IF(I449&gt;=G449,"Yes","No")</f>
        <v>Yes</v>
      </c>
      <c r="K449" t="s">
        <v>4</v>
      </c>
    </row>
    <row r="450" spans="1:11" ht="16" hidden="1" customHeight="1" x14ac:dyDescent="0.2">
      <c r="A450" s="43">
        <v>46305</v>
      </c>
      <c r="B450" s="104" t="s">
        <v>134</v>
      </c>
      <c r="C450" s="104" t="s">
        <v>139</v>
      </c>
      <c r="D450" s="93">
        <v>10</v>
      </c>
      <c r="E450" s="93">
        <v>6</v>
      </c>
      <c r="F450" s="105" t="s">
        <v>469</v>
      </c>
      <c r="G450" s="106">
        <v>18</v>
      </c>
      <c r="H450" s="103">
        <v>0.5</v>
      </c>
      <c r="I450">
        <v>17.5</v>
      </c>
      <c r="J450" t="str">
        <f t="shared" si="7"/>
        <v>No</v>
      </c>
      <c r="K450" t="s">
        <v>4</v>
      </c>
    </row>
    <row r="451" spans="1:11" ht="16" hidden="1" customHeight="1" x14ac:dyDescent="0.2">
      <c r="A451" s="43">
        <v>46305</v>
      </c>
      <c r="B451" s="104" t="s">
        <v>134</v>
      </c>
      <c r="C451" s="104" t="s">
        <v>139</v>
      </c>
      <c r="D451" s="93">
        <v>10</v>
      </c>
      <c r="E451" s="93">
        <v>11</v>
      </c>
      <c r="F451" s="105" t="s">
        <v>470</v>
      </c>
      <c r="G451" s="106">
        <v>16</v>
      </c>
      <c r="H451" s="103">
        <v>0.5</v>
      </c>
      <c r="I451">
        <v>22</v>
      </c>
      <c r="J451" t="str">
        <f t="shared" si="7"/>
        <v>Yes</v>
      </c>
      <c r="K451" t="s">
        <v>4</v>
      </c>
    </row>
    <row r="452" spans="1:11" ht="16" hidden="1" customHeight="1" x14ac:dyDescent="0.2">
      <c r="A452" s="43">
        <v>46305</v>
      </c>
      <c r="B452" s="104" t="s">
        <v>142</v>
      </c>
      <c r="C452" s="104" t="s">
        <v>141</v>
      </c>
      <c r="D452" s="93">
        <v>10</v>
      </c>
      <c r="E452" s="93">
        <v>3</v>
      </c>
      <c r="F452" s="105" t="s">
        <v>191</v>
      </c>
      <c r="G452" s="106">
        <v>25</v>
      </c>
      <c r="H452" s="103">
        <v>0.5</v>
      </c>
      <c r="I452">
        <v>25</v>
      </c>
      <c r="J452" t="str">
        <f t="shared" si="7"/>
        <v>Yes</v>
      </c>
      <c r="K452" t="s">
        <v>4</v>
      </c>
    </row>
    <row r="453" spans="1:11" ht="16" hidden="1" customHeight="1" x14ac:dyDescent="0.2">
      <c r="A453" s="43">
        <v>46305</v>
      </c>
      <c r="B453" s="104" t="s">
        <v>142</v>
      </c>
      <c r="C453" s="104" t="s">
        <v>141</v>
      </c>
      <c r="D453" s="93">
        <v>10</v>
      </c>
      <c r="E453" s="93">
        <v>3</v>
      </c>
      <c r="F453" s="105" t="s">
        <v>191</v>
      </c>
      <c r="G453" s="106">
        <v>7.2</v>
      </c>
      <c r="H453" s="103">
        <v>0.2</v>
      </c>
      <c r="I453">
        <v>6.2</v>
      </c>
      <c r="J453" t="str">
        <f t="shared" si="7"/>
        <v>No</v>
      </c>
      <c r="K453" t="s">
        <v>89</v>
      </c>
    </row>
    <row r="454" spans="1:11" ht="16" hidden="1" customHeight="1" x14ac:dyDescent="0.2">
      <c r="A454" s="43">
        <v>46305</v>
      </c>
      <c r="B454" s="104" t="s">
        <v>142</v>
      </c>
      <c r="C454" s="104" t="s">
        <v>141</v>
      </c>
      <c r="D454" s="93">
        <v>10</v>
      </c>
      <c r="E454" s="93">
        <v>4</v>
      </c>
      <c r="F454" s="105" t="s">
        <v>471</v>
      </c>
      <c r="G454" s="106">
        <v>12</v>
      </c>
      <c r="H454" s="103">
        <v>0.5</v>
      </c>
      <c r="I454">
        <v>10.37</v>
      </c>
      <c r="J454" t="str">
        <f t="shared" si="7"/>
        <v>No</v>
      </c>
      <c r="K454" t="s">
        <v>4</v>
      </c>
    </row>
    <row r="455" spans="1:11" ht="16" hidden="1" customHeight="1" x14ac:dyDescent="0.2">
      <c r="A455" s="43">
        <v>46305</v>
      </c>
      <c r="B455" s="104" t="s">
        <v>142</v>
      </c>
      <c r="C455" s="104" t="s">
        <v>141</v>
      </c>
      <c r="D455" s="93">
        <v>10</v>
      </c>
      <c r="E455" s="93">
        <v>5</v>
      </c>
      <c r="F455" s="105" t="s">
        <v>472</v>
      </c>
      <c r="G455" s="106">
        <v>27</v>
      </c>
      <c r="H455" s="103">
        <v>0.5</v>
      </c>
      <c r="I455">
        <v>27.24</v>
      </c>
      <c r="J455" t="str">
        <f t="shared" si="7"/>
        <v>Yes</v>
      </c>
      <c r="K455" t="s">
        <v>4</v>
      </c>
    </row>
    <row r="456" spans="1:11" ht="16" hidden="1" customHeight="1" x14ac:dyDescent="0.2">
      <c r="A456" s="43">
        <v>46305</v>
      </c>
      <c r="B456" s="104" t="s">
        <v>142</v>
      </c>
      <c r="C456" s="104" t="s">
        <v>141</v>
      </c>
      <c r="D456" s="93">
        <v>10</v>
      </c>
      <c r="E456" s="93">
        <v>5</v>
      </c>
      <c r="F456" s="105" t="s">
        <v>472</v>
      </c>
      <c r="G456" s="106">
        <v>7.8</v>
      </c>
      <c r="H456" s="103">
        <v>0.2</v>
      </c>
      <c r="I456">
        <v>6.31</v>
      </c>
      <c r="J456" t="str">
        <f t="shared" si="7"/>
        <v>No</v>
      </c>
      <c r="K456" t="s">
        <v>89</v>
      </c>
    </row>
    <row r="457" spans="1:11" ht="16" hidden="1" customHeight="1" x14ac:dyDescent="0.2">
      <c r="A457" s="43">
        <v>46305</v>
      </c>
      <c r="B457" s="104" t="s">
        <v>142</v>
      </c>
      <c r="C457" s="104" t="s">
        <v>141</v>
      </c>
      <c r="D457" s="93">
        <v>10</v>
      </c>
      <c r="E457" s="93">
        <v>8</v>
      </c>
      <c r="F457" s="105" t="s">
        <v>473</v>
      </c>
      <c r="G457" s="106">
        <v>27</v>
      </c>
      <c r="H457" s="103">
        <v>0.5</v>
      </c>
      <c r="I457">
        <v>59.89</v>
      </c>
      <c r="J457" t="str">
        <f t="shared" si="7"/>
        <v>Yes</v>
      </c>
      <c r="K457" t="s">
        <v>4</v>
      </c>
    </row>
    <row r="458" spans="1:11" ht="16" hidden="1" customHeight="1" x14ac:dyDescent="0.2">
      <c r="A458" s="43">
        <v>46305</v>
      </c>
      <c r="B458" s="104" t="s">
        <v>142</v>
      </c>
      <c r="C458" s="104" t="s">
        <v>141</v>
      </c>
      <c r="D458" s="93">
        <v>10</v>
      </c>
      <c r="E458" s="93">
        <v>8</v>
      </c>
      <c r="F458" s="105" t="s">
        <v>473</v>
      </c>
      <c r="G458" s="106">
        <v>7.8</v>
      </c>
      <c r="H458" s="103">
        <v>0.2</v>
      </c>
      <c r="I458">
        <v>12.3</v>
      </c>
      <c r="J458" t="str">
        <f t="shared" si="7"/>
        <v>Yes</v>
      </c>
      <c r="K458" t="s">
        <v>89</v>
      </c>
    </row>
    <row r="459" spans="1:11" ht="16" hidden="1" customHeight="1" x14ac:dyDescent="0.2">
      <c r="A459" s="43">
        <v>46305</v>
      </c>
      <c r="B459" s="104" t="s">
        <v>142</v>
      </c>
      <c r="C459" s="104" t="s">
        <v>141</v>
      </c>
      <c r="D459" s="93">
        <v>10</v>
      </c>
      <c r="E459" s="93">
        <v>13</v>
      </c>
      <c r="F459" s="105" t="s">
        <v>474</v>
      </c>
      <c r="G459" s="106">
        <v>21</v>
      </c>
      <c r="H459" s="103">
        <v>0.5</v>
      </c>
      <c r="I459">
        <v>19</v>
      </c>
      <c r="J459" t="str">
        <f t="shared" si="7"/>
        <v>No</v>
      </c>
      <c r="K459" t="s">
        <v>4</v>
      </c>
    </row>
    <row r="460" spans="1:11" ht="16" hidden="1" customHeight="1" x14ac:dyDescent="0.2">
      <c r="A460" s="43">
        <v>46305</v>
      </c>
      <c r="B460" s="104" t="s">
        <v>142</v>
      </c>
      <c r="C460" s="104" t="s">
        <v>141</v>
      </c>
      <c r="D460" s="93">
        <v>10</v>
      </c>
      <c r="E460" s="93">
        <v>13</v>
      </c>
      <c r="F460" s="105" t="s">
        <v>474</v>
      </c>
      <c r="G460" s="106">
        <v>6.4</v>
      </c>
      <c r="H460" s="103">
        <v>0.2</v>
      </c>
      <c r="I460">
        <v>5.0999999999999996</v>
      </c>
      <c r="J460" t="str">
        <f t="shared" si="7"/>
        <v>No</v>
      </c>
      <c r="K460" t="s">
        <v>89</v>
      </c>
    </row>
    <row r="461" spans="1:11" ht="16" hidden="1" customHeight="1" x14ac:dyDescent="0.2">
      <c r="A461" s="43">
        <v>46309</v>
      </c>
      <c r="B461" s="104" t="s">
        <v>142</v>
      </c>
      <c r="C461" s="104" t="s">
        <v>141</v>
      </c>
      <c r="D461" s="108">
        <v>1</v>
      </c>
      <c r="E461" s="108">
        <v>5</v>
      </c>
      <c r="F461" s="105" t="s">
        <v>475</v>
      </c>
      <c r="G461" s="106">
        <v>15</v>
      </c>
      <c r="H461" s="103">
        <v>0.5</v>
      </c>
      <c r="I461">
        <v>25.81</v>
      </c>
      <c r="J461" t="str">
        <f t="shared" ref="J461:J524" si="8">IF(I461&gt;=G461,"Yes","No")</f>
        <v>Yes</v>
      </c>
      <c r="K461" s="107" t="s">
        <v>4</v>
      </c>
    </row>
    <row r="462" spans="1:11" ht="16" hidden="1" customHeight="1" x14ac:dyDescent="0.2">
      <c r="A462" s="43">
        <v>46309</v>
      </c>
      <c r="B462" s="104" t="s">
        <v>142</v>
      </c>
      <c r="C462" s="104" t="s">
        <v>141</v>
      </c>
      <c r="D462" s="108">
        <v>1</v>
      </c>
      <c r="E462" s="108">
        <v>7</v>
      </c>
      <c r="F462" s="105" t="s">
        <v>476</v>
      </c>
      <c r="G462" s="106">
        <v>23</v>
      </c>
      <c r="H462" s="103">
        <v>0.5</v>
      </c>
      <c r="I462">
        <v>23</v>
      </c>
      <c r="J462" t="str">
        <f t="shared" si="8"/>
        <v>Yes</v>
      </c>
      <c r="K462" s="107" t="s">
        <v>4</v>
      </c>
    </row>
    <row r="463" spans="1:11" ht="16" hidden="1" customHeight="1" x14ac:dyDescent="0.2">
      <c r="A463" s="43">
        <v>46309</v>
      </c>
      <c r="B463" s="104" t="s">
        <v>142</v>
      </c>
      <c r="C463" s="104" t="s">
        <v>141</v>
      </c>
      <c r="D463" s="108">
        <v>1</v>
      </c>
      <c r="E463" s="108">
        <v>7</v>
      </c>
      <c r="F463" s="105" t="s">
        <v>476</v>
      </c>
      <c r="G463" s="106">
        <v>6.4</v>
      </c>
      <c r="H463" s="103">
        <v>0.2</v>
      </c>
      <c r="I463">
        <v>5</v>
      </c>
      <c r="J463" t="str">
        <f t="shared" si="8"/>
        <v>No</v>
      </c>
      <c r="K463" s="107" t="s">
        <v>89</v>
      </c>
    </row>
    <row r="464" spans="1:11" ht="16" hidden="1" customHeight="1" x14ac:dyDescent="0.2">
      <c r="A464" s="43">
        <v>46309</v>
      </c>
      <c r="B464" s="104" t="s">
        <v>134</v>
      </c>
      <c r="C464" s="104" t="s">
        <v>139</v>
      </c>
      <c r="D464" s="108">
        <v>4</v>
      </c>
      <c r="E464" s="108">
        <v>9</v>
      </c>
      <c r="F464" s="105" t="s">
        <v>281</v>
      </c>
      <c r="G464" s="106">
        <v>29</v>
      </c>
      <c r="H464" s="103">
        <v>0.5</v>
      </c>
      <c r="I464">
        <v>15.74</v>
      </c>
      <c r="J464" t="str">
        <f t="shared" si="8"/>
        <v>No</v>
      </c>
      <c r="K464" s="107" t="s">
        <v>4</v>
      </c>
    </row>
    <row r="465" spans="1:11" ht="16" hidden="1" customHeight="1" x14ac:dyDescent="0.2">
      <c r="A465" s="43">
        <v>46309</v>
      </c>
      <c r="B465" s="104" t="s">
        <v>142</v>
      </c>
      <c r="C465" s="104" t="s">
        <v>141</v>
      </c>
      <c r="D465" s="108">
        <v>2</v>
      </c>
      <c r="E465" s="108">
        <v>6</v>
      </c>
      <c r="F465" s="105" t="s">
        <v>477</v>
      </c>
      <c r="G465" s="106">
        <v>11</v>
      </c>
      <c r="H465" s="103">
        <v>0.5</v>
      </c>
      <c r="I465">
        <v>9.16</v>
      </c>
      <c r="J465" t="str">
        <f t="shared" si="8"/>
        <v>No</v>
      </c>
      <c r="K465" s="107" t="s">
        <v>4</v>
      </c>
    </row>
    <row r="466" spans="1:11" ht="16" hidden="1" customHeight="1" x14ac:dyDescent="0.2">
      <c r="A466" s="43">
        <v>46309</v>
      </c>
      <c r="B466" s="104" t="s">
        <v>142</v>
      </c>
      <c r="C466" s="104" t="s">
        <v>141</v>
      </c>
      <c r="D466" s="108">
        <v>2</v>
      </c>
      <c r="E466" s="108">
        <v>11</v>
      </c>
      <c r="F466" s="105" t="s">
        <v>478</v>
      </c>
      <c r="G466" s="106">
        <v>12</v>
      </c>
      <c r="H466" s="103">
        <v>0.5</v>
      </c>
      <c r="I466">
        <v>8.1999999999999993</v>
      </c>
      <c r="J466" t="str">
        <f t="shared" si="8"/>
        <v>No</v>
      </c>
      <c r="K466" s="107" t="s">
        <v>4</v>
      </c>
    </row>
    <row r="467" spans="1:11" ht="16" hidden="1" customHeight="1" x14ac:dyDescent="0.2">
      <c r="A467" s="43">
        <v>46309</v>
      </c>
      <c r="B467" s="104" t="s">
        <v>142</v>
      </c>
      <c r="C467" s="104" t="s">
        <v>141</v>
      </c>
      <c r="D467" s="108">
        <v>3</v>
      </c>
      <c r="E467" s="108">
        <v>6</v>
      </c>
      <c r="F467" s="105" t="s">
        <v>479</v>
      </c>
      <c r="G467" s="106">
        <v>10.5</v>
      </c>
      <c r="H467" s="103">
        <v>0.5</v>
      </c>
      <c r="I467">
        <v>11.5</v>
      </c>
      <c r="J467" t="str">
        <f t="shared" si="8"/>
        <v>Yes</v>
      </c>
      <c r="K467" s="107" t="s">
        <v>4</v>
      </c>
    </row>
    <row r="468" spans="1:11" ht="16" hidden="1" customHeight="1" x14ac:dyDescent="0.2">
      <c r="A468" s="43">
        <v>46309</v>
      </c>
      <c r="B468" s="104" t="s">
        <v>142</v>
      </c>
      <c r="C468" s="104" t="s">
        <v>141</v>
      </c>
      <c r="D468" s="108">
        <v>3</v>
      </c>
      <c r="E468" s="108">
        <v>6</v>
      </c>
      <c r="F468" s="105" t="s">
        <v>479</v>
      </c>
      <c r="G468" s="106">
        <v>5.0999999999999996</v>
      </c>
      <c r="H468" s="103">
        <v>0.2</v>
      </c>
      <c r="I468">
        <v>4.8</v>
      </c>
      <c r="J468" t="str">
        <f t="shared" si="8"/>
        <v>No</v>
      </c>
      <c r="K468" s="107" t="s">
        <v>89</v>
      </c>
    </row>
    <row r="469" spans="1:11" ht="16" hidden="1" customHeight="1" x14ac:dyDescent="0.2">
      <c r="A469" s="43">
        <v>46309</v>
      </c>
      <c r="B469" s="104" t="s">
        <v>134</v>
      </c>
      <c r="C469" s="104" t="s">
        <v>139</v>
      </c>
      <c r="D469" s="108">
        <v>7</v>
      </c>
      <c r="E469" s="108">
        <v>4</v>
      </c>
      <c r="F469" s="105" t="s">
        <v>480</v>
      </c>
      <c r="G469" s="106">
        <v>14.5</v>
      </c>
      <c r="H469" s="103">
        <v>0.5</v>
      </c>
      <c r="I469">
        <v>9.6</v>
      </c>
      <c r="J469" t="str">
        <f t="shared" si="8"/>
        <v>No</v>
      </c>
      <c r="K469" s="107" t="s">
        <v>4</v>
      </c>
    </row>
    <row r="470" spans="1:11" ht="16" hidden="1" customHeight="1" x14ac:dyDescent="0.2">
      <c r="A470" s="43">
        <v>46309</v>
      </c>
      <c r="B470" s="104" t="s">
        <v>134</v>
      </c>
      <c r="C470" s="104" t="s">
        <v>139</v>
      </c>
      <c r="D470" s="108">
        <v>7</v>
      </c>
      <c r="E470" s="108">
        <v>10</v>
      </c>
      <c r="F470" s="105" t="s">
        <v>481</v>
      </c>
      <c r="G470" s="106">
        <v>27</v>
      </c>
      <c r="H470" s="103">
        <v>0.5</v>
      </c>
      <c r="I470">
        <v>37.4</v>
      </c>
      <c r="J470" t="str">
        <f t="shared" si="8"/>
        <v>Yes</v>
      </c>
      <c r="K470" s="107" t="s">
        <v>4</v>
      </c>
    </row>
    <row r="471" spans="1:11" ht="16" hidden="1" customHeight="1" x14ac:dyDescent="0.2">
      <c r="A471" s="43">
        <v>46309</v>
      </c>
      <c r="B471" s="104" t="s">
        <v>142</v>
      </c>
      <c r="C471" s="104" t="s">
        <v>141</v>
      </c>
      <c r="D471" s="108">
        <v>5</v>
      </c>
      <c r="E471" s="108">
        <v>4</v>
      </c>
      <c r="F471" s="105" t="s">
        <v>482</v>
      </c>
      <c r="G471" s="106">
        <v>8.8000000000000007</v>
      </c>
      <c r="H471" s="103">
        <v>0.5</v>
      </c>
      <c r="I471">
        <v>12.23</v>
      </c>
      <c r="J471" t="str">
        <f t="shared" si="8"/>
        <v>Yes</v>
      </c>
      <c r="K471" s="107" t="s">
        <v>4</v>
      </c>
    </row>
    <row r="472" spans="1:11" ht="16" hidden="1" customHeight="1" x14ac:dyDescent="0.2">
      <c r="A472" s="43">
        <v>46309</v>
      </c>
      <c r="B472" s="104" t="s">
        <v>142</v>
      </c>
      <c r="C472" s="104" t="s">
        <v>141</v>
      </c>
      <c r="D472" s="108">
        <v>5</v>
      </c>
      <c r="E472" s="108">
        <v>8</v>
      </c>
      <c r="F472" s="105" t="s">
        <v>483</v>
      </c>
      <c r="G472" s="106">
        <v>19</v>
      </c>
      <c r="H472" s="103">
        <v>0.5</v>
      </c>
      <c r="I472">
        <v>19</v>
      </c>
      <c r="J472" t="str">
        <f t="shared" si="8"/>
        <v>Yes</v>
      </c>
      <c r="K472" s="107" t="s">
        <v>4</v>
      </c>
    </row>
    <row r="473" spans="1:11" ht="16" hidden="1" customHeight="1" x14ac:dyDescent="0.2">
      <c r="A473" s="43">
        <v>46309</v>
      </c>
      <c r="B473" s="104" t="s">
        <v>142</v>
      </c>
      <c r="C473" s="104" t="s">
        <v>141</v>
      </c>
      <c r="D473" s="108">
        <v>5</v>
      </c>
      <c r="E473" s="108">
        <v>8</v>
      </c>
      <c r="F473" s="105" t="s">
        <v>483</v>
      </c>
      <c r="G473" s="106">
        <v>5.0999999999999996</v>
      </c>
      <c r="H473" s="103">
        <v>0.2</v>
      </c>
      <c r="I473">
        <v>3.95</v>
      </c>
      <c r="J473" t="str">
        <f t="shared" si="8"/>
        <v>No</v>
      </c>
      <c r="K473" s="107" t="s">
        <v>89</v>
      </c>
    </row>
    <row r="474" spans="1:11" ht="16" hidden="1" customHeight="1" x14ac:dyDescent="0.2">
      <c r="A474" s="43">
        <v>46309</v>
      </c>
      <c r="B474" s="104" t="s">
        <v>134</v>
      </c>
      <c r="C474" s="104" t="s">
        <v>139</v>
      </c>
      <c r="D474" s="108">
        <v>8</v>
      </c>
      <c r="E474" s="108">
        <v>16</v>
      </c>
      <c r="F474" s="105" t="s">
        <v>484</v>
      </c>
      <c r="G474" s="106">
        <v>13.5</v>
      </c>
      <c r="H474" s="103">
        <v>0.5</v>
      </c>
      <c r="I474">
        <v>7.6</v>
      </c>
      <c r="J474" t="str">
        <f t="shared" si="8"/>
        <v>No</v>
      </c>
      <c r="K474" s="107" t="s">
        <v>4</v>
      </c>
    </row>
    <row r="475" spans="1:11" ht="16" hidden="1" customHeight="1" x14ac:dyDescent="0.2">
      <c r="A475" s="43">
        <v>46309</v>
      </c>
      <c r="B475" s="104" t="s">
        <v>142</v>
      </c>
      <c r="C475" s="104" t="s">
        <v>141</v>
      </c>
      <c r="D475" s="108">
        <v>6</v>
      </c>
      <c r="E475" s="108">
        <v>3</v>
      </c>
      <c r="F475" s="105" t="s">
        <v>485</v>
      </c>
      <c r="G475" s="106">
        <v>12.5</v>
      </c>
      <c r="H475" s="103">
        <v>0.5</v>
      </c>
      <c r="I475">
        <v>13.2</v>
      </c>
      <c r="J475" t="str">
        <f t="shared" si="8"/>
        <v>Yes</v>
      </c>
      <c r="K475" s="107" t="s">
        <v>4</v>
      </c>
    </row>
    <row r="476" spans="1:11" ht="16" hidden="1" customHeight="1" x14ac:dyDescent="0.2">
      <c r="A476" s="43">
        <v>46309</v>
      </c>
      <c r="B476" s="104" t="s">
        <v>142</v>
      </c>
      <c r="C476" s="104" t="s">
        <v>141</v>
      </c>
      <c r="D476" s="108">
        <v>6</v>
      </c>
      <c r="E476" s="108">
        <v>10</v>
      </c>
      <c r="F476" s="105" t="s">
        <v>486</v>
      </c>
      <c r="G476" s="106">
        <v>13.5</v>
      </c>
      <c r="H476" s="103">
        <v>0.5</v>
      </c>
      <c r="I476">
        <v>10.85</v>
      </c>
      <c r="J476" t="str">
        <f t="shared" si="8"/>
        <v>No</v>
      </c>
      <c r="K476" s="107" t="s">
        <v>4</v>
      </c>
    </row>
    <row r="477" spans="1:11" ht="16" hidden="1" customHeight="1" x14ac:dyDescent="0.2">
      <c r="A477" s="43">
        <v>46312</v>
      </c>
      <c r="B477" s="104" t="s">
        <v>134</v>
      </c>
      <c r="C477" s="104" t="s">
        <v>138</v>
      </c>
      <c r="D477" s="108">
        <v>1</v>
      </c>
      <c r="E477" s="108">
        <v>4</v>
      </c>
      <c r="F477" s="105" t="s">
        <v>487</v>
      </c>
      <c r="G477" s="106">
        <v>27</v>
      </c>
      <c r="H477" s="103">
        <v>0.5</v>
      </c>
      <c r="I477">
        <v>9.68</v>
      </c>
      <c r="J477" t="str">
        <f t="shared" si="8"/>
        <v>No</v>
      </c>
      <c r="K477" s="107" t="s">
        <v>4</v>
      </c>
    </row>
    <row r="478" spans="1:11" ht="16" hidden="1" customHeight="1" x14ac:dyDescent="0.2">
      <c r="A478" s="43">
        <v>46312</v>
      </c>
      <c r="B478" s="104" t="s">
        <v>134</v>
      </c>
      <c r="C478" s="104" t="s">
        <v>138</v>
      </c>
      <c r="D478" s="108">
        <v>1</v>
      </c>
      <c r="E478" s="108">
        <v>9</v>
      </c>
      <c r="F478" s="105" t="s">
        <v>488</v>
      </c>
      <c r="G478" s="106">
        <v>17</v>
      </c>
      <c r="H478" s="103">
        <v>0.5</v>
      </c>
      <c r="I478">
        <v>24.51</v>
      </c>
      <c r="J478" t="str">
        <f t="shared" si="8"/>
        <v>Yes</v>
      </c>
      <c r="K478" s="107" t="s">
        <v>4</v>
      </c>
    </row>
    <row r="479" spans="1:11" ht="16" hidden="1" customHeight="1" x14ac:dyDescent="0.2">
      <c r="A479" s="43">
        <v>46312</v>
      </c>
      <c r="B479" s="104" t="s">
        <v>134</v>
      </c>
      <c r="C479" s="104" t="s">
        <v>138</v>
      </c>
      <c r="D479" s="108">
        <v>2</v>
      </c>
      <c r="E479" s="108">
        <v>10</v>
      </c>
      <c r="F479" s="105" t="s">
        <v>489</v>
      </c>
      <c r="G479" s="106">
        <v>29</v>
      </c>
      <c r="H479" s="103">
        <v>0.5</v>
      </c>
      <c r="I479">
        <v>15.5</v>
      </c>
      <c r="J479" t="str">
        <f t="shared" si="8"/>
        <v>No</v>
      </c>
      <c r="K479" s="107" t="s">
        <v>4</v>
      </c>
    </row>
    <row r="480" spans="1:11" ht="16" hidden="1" customHeight="1" x14ac:dyDescent="0.2">
      <c r="A480" s="43">
        <v>46312</v>
      </c>
      <c r="B480" s="104" t="s">
        <v>142</v>
      </c>
      <c r="C480" s="104" t="s">
        <v>140</v>
      </c>
      <c r="D480" s="108">
        <v>2</v>
      </c>
      <c r="E480" s="108">
        <v>4</v>
      </c>
      <c r="F480" s="105" t="s">
        <v>467</v>
      </c>
      <c r="G480" s="106">
        <v>9.4</v>
      </c>
      <c r="H480" s="103">
        <v>0.5</v>
      </c>
      <c r="I480">
        <v>12.17</v>
      </c>
      <c r="J480" t="str">
        <f t="shared" si="8"/>
        <v>Yes</v>
      </c>
      <c r="K480" s="107" t="s">
        <v>4</v>
      </c>
    </row>
    <row r="481" spans="1:11" ht="16" hidden="1" customHeight="1" x14ac:dyDescent="0.2">
      <c r="A481" s="43">
        <v>46312</v>
      </c>
      <c r="B481" s="104" t="s">
        <v>134</v>
      </c>
      <c r="C481" s="104" t="s">
        <v>138</v>
      </c>
      <c r="D481" s="108">
        <v>3</v>
      </c>
      <c r="E481" s="108">
        <v>5</v>
      </c>
      <c r="F481" s="105" t="s">
        <v>203</v>
      </c>
      <c r="G481" s="106">
        <v>13</v>
      </c>
      <c r="H481" s="103">
        <v>0.5</v>
      </c>
      <c r="I481">
        <v>11</v>
      </c>
      <c r="J481" t="str">
        <f t="shared" si="8"/>
        <v>No</v>
      </c>
      <c r="K481" s="107" t="s">
        <v>4</v>
      </c>
    </row>
    <row r="482" spans="1:11" ht="16" hidden="1" customHeight="1" x14ac:dyDescent="0.2">
      <c r="A482" s="43">
        <v>46312</v>
      </c>
      <c r="B482" s="104" t="s">
        <v>134</v>
      </c>
      <c r="C482" s="104" t="s">
        <v>138</v>
      </c>
      <c r="D482" s="108">
        <v>3</v>
      </c>
      <c r="E482" s="108">
        <v>12</v>
      </c>
      <c r="F482" s="105" t="s">
        <v>352</v>
      </c>
      <c r="G482" s="106">
        <v>15.5</v>
      </c>
      <c r="H482" s="103">
        <v>0.5</v>
      </c>
      <c r="I482">
        <v>16.850000000000001</v>
      </c>
      <c r="J482" t="str">
        <f t="shared" si="8"/>
        <v>Yes</v>
      </c>
      <c r="K482" s="107" t="s">
        <v>4</v>
      </c>
    </row>
    <row r="483" spans="1:11" ht="16" hidden="1" customHeight="1" x14ac:dyDescent="0.2">
      <c r="A483" s="43">
        <v>46312</v>
      </c>
      <c r="B483" s="104" t="s">
        <v>142</v>
      </c>
      <c r="C483" s="104" t="s">
        <v>140</v>
      </c>
      <c r="D483" s="108">
        <v>3</v>
      </c>
      <c r="E483" s="108">
        <v>1</v>
      </c>
      <c r="F483" s="105" t="s">
        <v>397</v>
      </c>
      <c r="G483" s="106">
        <v>15.5</v>
      </c>
      <c r="H483" s="103">
        <v>0.5</v>
      </c>
      <c r="I483">
        <v>26</v>
      </c>
      <c r="J483" t="str">
        <f t="shared" si="8"/>
        <v>Yes</v>
      </c>
      <c r="K483" s="107" t="s">
        <v>4</v>
      </c>
    </row>
    <row r="484" spans="1:11" ht="16" hidden="1" customHeight="1" x14ac:dyDescent="0.2">
      <c r="A484" s="43">
        <v>46312</v>
      </c>
      <c r="B484" s="104" t="s">
        <v>142</v>
      </c>
      <c r="C484" s="104" t="s">
        <v>140</v>
      </c>
      <c r="D484" s="108">
        <v>3</v>
      </c>
      <c r="E484" s="108">
        <v>8</v>
      </c>
      <c r="F484" s="105" t="s">
        <v>490</v>
      </c>
      <c r="G484" s="106">
        <v>17.5</v>
      </c>
      <c r="H484" s="103">
        <v>0.5</v>
      </c>
      <c r="I484">
        <v>30</v>
      </c>
      <c r="J484" t="str">
        <f t="shared" si="8"/>
        <v>Yes</v>
      </c>
      <c r="K484" s="107" t="s">
        <v>4</v>
      </c>
    </row>
    <row r="485" spans="1:11" ht="16" hidden="1" customHeight="1" x14ac:dyDescent="0.2">
      <c r="A485" s="43">
        <v>46312</v>
      </c>
      <c r="B485" s="104" t="s">
        <v>142</v>
      </c>
      <c r="C485" s="104" t="s">
        <v>140</v>
      </c>
      <c r="D485" s="108">
        <v>3</v>
      </c>
      <c r="E485" s="108">
        <v>11</v>
      </c>
      <c r="F485" s="105" t="s">
        <v>491</v>
      </c>
      <c r="G485" s="106">
        <v>12.5</v>
      </c>
      <c r="H485" s="103">
        <v>0.5</v>
      </c>
      <c r="I485">
        <v>19</v>
      </c>
      <c r="J485" t="str">
        <f t="shared" si="8"/>
        <v>Yes</v>
      </c>
      <c r="K485" s="107" t="s">
        <v>4</v>
      </c>
    </row>
    <row r="486" spans="1:11" ht="16" hidden="1" customHeight="1" x14ac:dyDescent="0.2">
      <c r="A486" s="43">
        <v>46312</v>
      </c>
      <c r="B486" s="104" t="s">
        <v>134</v>
      </c>
      <c r="C486" s="104" t="s">
        <v>138</v>
      </c>
      <c r="D486" s="108">
        <v>4</v>
      </c>
      <c r="E486" s="108">
        <v>9</v>
      </c>
      <c r="F486" s="105" t="s">
        <v>347</v>
      </c>
      <c r="G486" s="106">
        <v>26</v>
      </c>
      <c r="H486" s="103">
        <v>0.5</v>
      </c>
      <c r="I486">
        <v>31.04</v>
      </c>
      <c r="J486" t="str">
        <f t="shared" si="8"/>
        <v>Yes</v>
      </c>
      <c r="K486" s="107" t="s">
        <v>4</v>
      </c>
    </row>
    <row r="487" spans="1:11" ht="16" hidden="1" customHeight="1" x14ac:dyDescent="0.2">
      <c r="A487" s="43">
        <v>46312</v>
      </c>
      <c r="B487" s="104" t="s">
        <v>142</v>
      </c>
      <c r="C487" s="104" t="s">
        <v>140</v>
      </c>
      <c r="D487" s="108">
        <v>4</v>
      </c>
      <c r="E487" s="108">
        <v>1</v>
      </c>
      <c r="F487" s="105" t="s">
        <v>492</v>
      </c>
      <c r="G487" s="106">
        <v>9</v>
      </c>
      <c r="H487" s="103">
        <v>0.5</v>
      </c>
      <c r="I487">
        <v>6.4</v>
      </c>
      <c r="J487" t="str">
        <f t="shared" si="8"/>
        <v>No</v>
      </c>
      <c r="K487" s="107" t="s">
        <v>4</v>
      </c>
    </row>
    <row r="488" spans="1:11" ht="16" hidden="1" customHeight="1" x14ac:dyDescent="0.2">
      <c r="A488" s="43">
        <v>46312</v>
      </c>
      <c r="B488" s="104" t="s">
        <v>142</v>
      </c>
      <c r="C488" s="104" t="s">
        <v>140</v>
      </c>
      <c r="D488" s="108">
        <v>4</v>
      </c>
      <c r="E488" s="108">
        <v>12</v>
      </c>
      <c r="F488" s="105" t="s">
        <v>493</v>
      </c>
      <c r="G488" s="106">
        <v>8.6</v>
      </c>
      <c r="H488" s="103">
        <v>0.5</v>
      </c>
      <c r="I488">
        <v>6.6</v>
      </c>
      <c r="J488" t="str">
        <f t="shared" si="8"/>
        <v>No</v>
      </c>
      <c r="K488" s="107" t="s">
        <v>4</v>
      </c>
    </row>
    <row r="489" spans="1:11" ht="16" hidden="1" customHeight="1" x14ac:dyDescent="0.2">
      <c r="A489" s="43">
        <v>46312</v>
      </c>
      <c r="B489" s="104" t="s">
        <v>134</v>
      </c>
      <c r="C489" s="104" t="s">
        <v>138</v>
      </c>
      <c r="D489" s="108">
        <v>5</v>
      </c>
      <c r="E489" s="108">
        <v>1</v>
      </c>
      <c r="F489" s="105" t="s">
        <v>400</v>
      </c>
      <c r="G489" s="106">
        <v>15.5</v>
      </c>
      <c r="H489" s="103">
        <v>0.5</v>
      </c>
      <c r="I489">
        <v>8.1999999999999993</v>
      </c>
      <c r="J489" t="str">
        <f t="shared" si="8"/>
        <v>No</v>
      </c>
      <c r="K489" s="107" t="s">
        <v>4</v>
      </c>
    </row>
    <row r="490" spans="1:11" ht="16" hidden="1" customHeight="1" x14ac:dyDescent="0.2">
      <c r="A490" s="43">
        <v>46312</v>
      </c>
      <c r="B490" s="104" t="s">
        <v>134</v>
      </c>
      <c r="C490" s="104" t="s">
        <v>138</v>
      </c>
      <c r="D490" s="108">
        <v>5</v>
      </c>
      <c r="E490" s="108">
        <v>3</v>
      </c>
      <c r="F490" s="105" t="s">
        <v>494</v>
      </c>
      <c r="G490" s="106">
        <v>17.5</v>
      </c>
      <c r="H490" s="103">
        <v>0.5</v>
      </c>
      <c r="I490">
        <v>16</v>
      </c>
      <c r="J490" t="str">
        <f t="shared" si="8"/>
        <v>No</v>
      </c>
      <c r="K490" s="107" t="s">
        <v>4</v>
      </c>
    </row>
    <row r="491" spans="1:11" ht="16" hidden="1" customHeight="1" x14ac:dyDescent="0.2">
      <c r="A491" s="43">
        <v>46312</v>
      </c>
      <c r="B491" s="104" t="s">
        <v>142</v>
      </c>
      <c r="C491" s="104" t="s">
        <v>140</v>
      </c>
      <c r="D491" s="108">
        <v>5</v>
      </c>
      <c r="E491" s="108">
        <v>6</v>
      </c>
      <c r="F491" s="105" t="s">
        <v>495</v>
      </c>
      <c r="G491" s="106">
        <v>17</v>
      </c>
      <c r="H491" s="103">
        <v>0.5</v>
      </c>
      <c r="I491">
        <v>17</v>
      </c>
      <c r="J491" t="str">
        <f t="shared" si="8"/>
        <v>Yes</v>
      </c>
      <c r="K491" s="107" t="s">
        <v>4</v>
      </c>
    </row>
    <row r="492" spans="1:11" ht="16" hidden="1" customHeight="1" x14ac:dyDescent="0.2">
      <c r="A492" s="43">
        <v>46312</v>
      </c>
      <c r="B492" s="104" t="s">
        <v>142</v>
      </c>
      <c r="C492" s="104" t="s">
        <v>140</v>
      </c>
      <c r="D492" s="108">
        <v>5</v>
      </c>
      <c r="E492" s="108">
        <v>8</v>
      </c>
      <c r="F492" s="105" t="s">
        <v>496</v>
      </c>
      <c r="G492" s="106">
        <v>8</v>
      </c>
      <c r="H492" s="103">
        <v>0.5</v>
      </c>
      <c r="I492">
        <v>7.83</v>
      </c>
      <c r="J492" t="str">
        <f t="shared" si="8"/>
        <v>No</v>
      </c>
      <c r="K492" s="107" t="s">
        <v>4</v>
      </c>
    </row>
    <row r="493" spans="1:11" ht="16" hidden="1" customHeight="1" x14ac:dyDescent="0.2">
      <c r="A493" s="43">
        <v>46312</v>
      </c>
      <c r="B493" s="104" t="s">
        <v>134</v>
      </c>
      <c r="C493" s="104" t="s">
        <v>138</v>
      </c>
      <c r="D493" s="108">
        <v>6</v>
      </c>
      <c r="E493" s="108">
        <v>3</v>
      </c>
      <c r="F493" s="105" t="s">
        <v>497</v>
      </c>
      <c r="G493" s="106">
        <v>17.5</v>
      </c>
      <c r="H493" s="103">
        <v>0.5</v>
      </c>
      <c r="I493">
        <v>17.5</v>
      </c>
      <c r="J493" t="str">
        <f t="shared" si="8"/>
        <v>Yes</v>
      </c>
      <c r="K493" s="107" t="s">
        <v>4</v>
      </c>
    </row>
    <row r="494" spans="1:11" ht="16" hidden="1" customHeight="1" x14ac:dyDescent="0.2">
      <c r="A494" s="43">
        <v>46312</v>
      </c>
      <c r="B494" s="104" t="s">
        <v>134</v>
      </c>
      <c r="C494" s="104" t="s">
        <v>138</v>
      </c>
      <c r="D494" s="108">
        <v>6</v>
      </c>
      <c r="E494" s="108">
        <v>16</v>
      </c>
      <c r="F494" s="105" t="s">
        <v>249</v>
      </c>
      <c r="G494" s="106">
        <v>28</v>
      </c>
      <c r="H494" s="103">
        <v>0.5</v>
      </c>
      <c r="I494">
        <v>36</v>
      </c>
      <c r="J494" t="str">
        <f t="shared" si="8"/>
        <v>Yes</v>
      </c>
      <c r="K494" s="107" t="s">
        <v>4</v>
      </c>
    </row>
    <row r="495" spans="1:11" ht="16" hidden="1" customHeight="1" x14ac:dyDescent="0.2">
      <c r="A495" s="43">
        <v>46312</v>
      </c>
      <c r="B495" s="104" t="s">
        <v>142</v>
      </c>
      <c r="C495" s="104" t="s">
        <v>140</v>
      </c>
      <c r="D495" s="108">
        <v>6</v>
      </c>
      <c r="E495" s="108">
        <v>12</v>
      </c>
      <c r="F495" s="105" t="s">
        <v>498</v>
      </c>
      <c r="G495" s="106">
        <v>8</v>
      </c>
      <c r="H495" s="103">
        <v>0.5</v>
      </c>
      <c r="I495">
        <v>8.14</v>
      </c>
      <c r="J495" t="str">
        <f t="shared" si="8"/>
        <v>Yes</v>
      </c>
      <c r="K495" s="107" t="s">
        <v>4</v>
      </c>
    </row>
    <row r="496" spans="1:11" ht="16" hidden="1" customHeight="1" x14ac:dyDescent="0.2">
      <c r="A496" s="43">
        <v>46312</v>
      </c>
      <c r="B496" s="104" t="s">
        <v>142</v>
      </c>
      <c r="C496" s="104" t="s">
        <v>140</v>
      </c>
      <c r="D496" s="108">
        <v>6</v>
      </c>
      <c r="E496" s="108">
        <v>15</v>
      </c>
      <c r="F496" s="105" t="s">
        <v>499</v>
      </c>
      <c r="G496" s="106">
        <v>12</v>
      </c>
      <c r="H496" s="103">
        <v>0.5</v>
      </c>
      <c r="I496">
        <v>12.24</v>
      </c>
      <c r="J496" t="str">
        <f t="shared" si="8"/>
        <v>Yes</v>
      </c>
      <c r="K496" s="107" t="s">
        <v>4</v>
      </c>
    </row>
    <row r="497" spans="1:11" ht="16" hidden="1" customHeight="1" x14ac:dyDescent="0.2">
      <c r="A497" s="43">
        <v>46312</v>
      </c>
      <c r="B497" s="104" t="s">
        <v>142</v>
      </c>
      <c r="C497" s="104" t="s">
        <v>140</v>
      </c>
      <c r="D497" s="108">
        <v>6</v>
      </c>
      <c r="E497" s="108">
        <v>16</v>
      </c>
      <c r="F497" s="105" t="s">
        <v>500</v>
      </c>
      <c r="G497" s="106">
        <v>28</v>
      </c>
      <c r="H497" s="103">
        <v>0.5</v>
      </c>
      <c r="I497">
        <v>27.51</v>
      </c>
      <c r="J497" t="str">
        <f t="shared" si="8"/>
        <v>No</v>
      </c>
      <c r="K497" s="107" t="s">
        <v>4</v>
      </c>
    </row>
    <row r="498" spans="1:11" ht="16" hidden="1" customHeight="1" x14ac:dyDescent="0.2">
      <c r="A498" s="43">
        <v>46312</v>
      </c>
      <c r="B498" s="104" t="s">
        <v>134</v>
      </c>
      <c r="C498" s="104" t="s">
        <v>138</v>
      </c>
      <c r="D498" s="108">
        <v>7</v>
      </c>
      <c r="E498" s="108">
        <v>7</v>
      </c>
      <c r="F498" s="105" t="s">
        <v>501</v>
      </c>
      <c r="G498" s="106">
        <v>25</v>
      </c>
      <c r="H498" s="103">
        <v>0.5</v>
      </c>
      <c r="I498">
        <v>25.3</v>
      </c>
      <c r="J498" t="str">
        <f t="shared" si="8"/>
        <v>Yes</v>
      </c>
      <c r="K498" s="107" t="s">
        <v>4</v>
      </c>
    </row>
    <row r="499" spans="1:11" ht="16" hidden="1" customHeight="1" x14ac:dyDescent="0.2">
      <c r="A499" s="43">
        <v>46312</v>
      </c>
      <c r="B499" s="104" t="s">
        <v>142</v>
      </c>
      <c r="C499" s="104" t="s">
        <v>140</v>
      </c>
      <c r="D499" s="108">
        <v>7</v>
      </c>
      <c r="E499" s="108">
        <v>3</v>
      </c>
      <c r="F499" s="105" t="s">
        <v>502</v>
      </c>
      <c r="G499" s="106">
        <v>8.1999999999999993</v>
      </c>
      <c r="H499" s="103">
        <v>0.5</v>
      </c>
      <c r="I499">
        <v>11</v>
      </c>
      <c r="J499" t="str">
        <f t="shared" si="8"/>
        <v>Yes</v>
      </c>
      <c r="K499" s="107" t="s">
        <v>4</v>
      </c>
    </row>
    <row r="500" spans="1:11" ht="16" hidden="1" customHeight="1" x14ac:dyDescent="0.2">
      <c r="A500" s="43">
        <v>46312</v>
      </c>
      <c r="B500" s="104" t="s">
        <v>142</v>
      </c>
      <c r="C500" s="104" t="s">
        <v>140</v>
      </c>
      <c r="D500" s="108">
        <v>7</v>
      </c>
      <c r="E500" s="108">
        <v>4</v>
      </c>
      <c r="F500" s="105" t="s">
        <v>503</v>
      </c>
      <c r="G500" s="106">
        <v>17</v>
      </c>
      <c r="H500" s="103">
        <v>0.5</v>
      </c>
      <c r="I500">
        <v>22.25</v>
      </c>
      <c r="J500" t="str">
        <f t="shared" si="8"/>
        <v>Yes</v>
      </c>
      <c r="K500" s="107" t="s">
        <v>4</v>
      </c>
    </row>
    <row r="501" spans="1:11" ht="16" hidden="1" customHeight="1" x14ac:dyDescent="0.2">
      <c r="A501" s="43">
        <v>46312</v>
      </c>
      <c r="B501" s="104" t="s">
        <v>142</v>
      </c>
      <c r="C501" s="104" t="s">
        <v>140</v>
      </c>
      <c r="D501" s="108">
        <v>8</v>
      </c>
      <c r="E501" s="108">
        <v>1</v>
      </c>
      <c r="F501" s="105" t="s">
        <v>504</v>
      </c>
      <c r="G501" s="106">
        <v>27</v>
      </c>
      <c r="H501" s="103">
        <v>0.5</v>
      </c>
      <c r="I501">
        <v>30.28</v>
      </c>
      <c r="J501" t="str">
        <f t="shared" si="8"/>
        <v>Yes</v>
      </c>
      <c r="K501" s="107" t="s">
        <v>4</v>
      </c>
    </row>
    <row r="502" spans="1:11" ht="16" hidden="1" customHeight="1" x14ac:dyDescent="0.2">
      <c r="A502" s="43">
        <v>46312</v>
      </c>
      <c r="B502" s="104" t="s">
        <v>142</v>
      </c>
      <c r="C502" s="104" t="s">
        <v>140</v>
      </c>
      <c r="D502" s="108">
        <v>8</v>
      </c>
      <c r="E502" s="108">
        <v>2</v>
      </c>
      <c r="F502" s="105" t="s">
        <v>505</v>
      </c>
      <c r="G502" s="106">
        <v>18</v>
      </c>
      <c r="H502" s="103">
        <v>0.5</v>
      </c>
      <c r="I502">
        <v>18</v>
      </c>
      <c r="J502" t="str">
        <f t="shared" si="8"/>
        <v>Yes</v>
      </c>
      <c r="K502" s="107" t="s">
        <v>4</v>
      </c>
    </row>
    <row r="503" spans="1:11" ht="16" hidden="1" customHeight="1" x14ac:dyDescent="0.2">
      <c r="A503" s="43">
        <v>46312</v>
      </c>
      <c r="B503" s="104" t="s">
        <v>142</v>
      </c>
      <c r="C503" s="104" t="s">
        <v>140</v>
      </c>
      <c r="D503" s="108">
        <v>8</v>
      </c>
      <c r="E503" s="108">
        <v>4</v>
      </c>
      <c r="F503" s="105" t="s">
        <v>506</v>
      </c>
      <c r="G503" s="106">
        <v>17</v>
      </c>
      <c r="H503" s="103">
        <v>0.5</v>
      </c>
      <c r="I503">
        <v>18.32</v>
      </c>
      <c r="J503" t="str">
        <f t="shared" si="8"/>
        <v>Yes</v>
      </c>
      <c r="K503" s="107" t="s">
        <v>4</v>
      </c>
    </row>
    <row r="504" spans="1:11" ht="16" hidden="1" customHeight="1" x14ac:dyDescent="0.2">
      <c r="A504" s="43">
        <v>46312</v>
      </c>
      <c r="B504" s="104" t="s">
        <v>142</v>
      </c>
      <c r="C504" s="104" t="s">
        <v>140</v>
      </c>
      <c r="D504" s="108">
        <v>8</v>
      </c>
      <c r="E504" s="108">
        <v>10</v>
      </c>
      <c r="F504" s="105" t="s">
        <v>507</v>
      </c>
      <c r="G504" s="106">
        <v>26</v>
      </c>
      <c r="H504" s="103">
        <v>0.5</v>
      </c>
      <c r="I504">
        <v>29</v>
      </c>
      <c r="J504" t="str">
        <f t="shared" si="8"/>
        <v>Yes</v>
      </c>
      <c r="K504" s="107" t="s">
        <v>4</v>
      </c>
    </row>
    <row r="505" spans="1:11" ht="16" hidden="1" customHeight="1" x14ac:dyDescent="0.2">
      <c r="A505" s="43">
        <v>46312</v>
      </c>
      <c r="B505" s="104" t="s">
        <v>134</v>
      </c>
      <c r="C505" s="104" t="s">
        <v>138</v>
      </c>
      <c r="D505" s="108">
        <v>9</v>
      </c>
      <c r="E505" s="108">
        <v>3</v>
      </c>
      <c r="F505" s="105" t="s">
        <v>508</v>
      </c>
      <c r="G505" s="106">
        <v>29</v>
      </c>
      <c r="H505" s="103">
        <v>0.5</v>
      </c>
      <c r="I505">
        <v>49</v>
      </c>
      <c r="J505" t="str">
        <f t="shared" si="8"/>
        <v>Yes</v>
      </c>
      <c r="K505" s="107" t="s">
        <v>4</v>
      </c>
    </row>
    <row r="506" spans="1:11" ht="16" hidden="1" customHeight="1" x14ac:dyDescent="0.2">
      <c r="A506" s="43">
        <v>46312</v>
      </c>
      <c r="B506" s="104" t="s">
        <v>142</v>
      </c>
      <c r="C506" s="104" t="s">
        <v>140</v>
      </c>
      <c r="D506" s="108">
        <v>9</v>
      </c>
      <c r="E506" s="108">
        <v>2</v>
      </c>
      <c r="F506" s="105" t="s">
        <v>509</v>
      </c>
      <c r="G506" s="106">
        <v>19.5</v>
      </c>
      <c r="H506" s="103">
        <v>0.5</v>
      </c>
      <c r="I506">
        <v>19</v>
      </c>
      <c r="J506" t="str">
        <f t="shared" si="8"/>
        <v>No</v>
      </c>
      <c r="K506" s="107" t="s">
        <v>4</v>
      </c>
    </row>
    <row r="507" spans="1:11" ht="16" hidden="1" customHeight="1" x14ac:dyDescent="0.2">
      <c r="A507" s="43">
        <v>46312</v>
      </c>
      <c r="B507" s="104" t="s">
        <v>142</v>
      </c>
      <c r="C507" s="104" t="s">
        <v>140</v>
      </c>
      <c r="D507" s="108">
        <v>9</v>
      </c>
      <c r="E507" s="108">
        <v>3</v>
      </c>
      <c r="F507" s="105" t="s">
        <v>510</v>
      </c>
      <c r="G507" s="106">
        <v>29</v>
      </c>
      <c r="H507" s="103">
        <v>0.5</v>
      </c>
      <c r="I507">
        <v>19.5</v>
      </c>
      <c r="J507" t="str">
        <f t="shared" si="8"/>
        <v>No</v>
      </c>
      <c r="K507" s="107" t="s">
        <v>4</v>
      </c>
    </row>
    <row r="508" spans="1:11" ht="16" hidden="1" customHeight="1" x14ac:dyDescent="0.2">
      <c r="A508" s="43">
        <v>46312</v>
      </c>
      <c r="B508" s="104" t="s">
        <v>142</v>
      </c>
      <c r="C508" s="104" t="s">
        <v>140</v>
      </c>
      <c r="D508" s="108">
        <v>9</v>
      </c>
      <c r="E508" s="108">
        <v>5</v>
      </c>
      <c r="F508" s="105" t="s">
        <v>511</v>
      </c>
      <c r="G508" s="106">
        <v>8.4</v>
      </c>
      <c r="H508" s="103">
        <v>0.5</v>
      </c>
      <c r="I508">
        <v>14</v>
      </c>
      <c r="J508" t="str">
        <f t="shared" si="8"/>
        <v>Yes</v>
      </c>
      <c r="K508" s="107" t="s">
        <v>4</v>
      </c>
    </row>
    <row r="509" spans="1:11" ht="16" hidden="1" customHeight="1" x14ac:dyDescent="0.2">
      <c r="A509" s="43">
        <v>46312</v>
      </c>
      <c r="B509" s="104" t="s">
        <v>142</v>
      </c>
      <c r="C509" s="104" t="s">
        <v>140</v>
      </c>
      <c r="D509" s="108">
        <v>9</v>
      </c>
      <c r="E509" s="108">
        <v>10</v>
      </c>
      <c r="F509" s="105" t="s">
        <v>512</v>
      </c>
      <c r="G509" s="106">
        <v>13</v>
      </c>
      <c r="H509" s="103">
        <v>0.5</v>
      </c>
      <c r="I509">
        <v>11</v>
      </c>
      <c r="J509" t="str">
        <f t="shared" si="8"/>
        <v>No</v>
      </c>
      <c r="K509" s="107" t="s">
        <v>4</v>
      </c>
    </row>
    <row r="510" spans="1:11" ht="16" hidden="1" customHeight="1" x14ac:dyDescent="0.2">
      <c r="A510" s="43">
        <v>46312</v>
      </c>
      <c r="B510" s="104" t="s">
        <v>134</v>
      </c>
      <c r="C510" s="104" t="s">
        <v>138</v>
      </c>
      <c r="D510" s="108">
        <v>10</v>
      </c>
      <c r="E510" s="108">
        <v>17</v>
      </c>
      <c r="F510" s="105" t="s">
        <v>513</v>
      </c>
      <c r="G510" s="106">
        <v>15</v>
      </c>
      <c r="H510" s="103">
        <v>0.5</v>
      </c>
      <c r="I510">
        <v>13.5</v>
      </c>
      <c r="J510" t="str">
        <f t="shared" si="8"/>
        <v>No</v>
      </c>
      <c r="K510" s="107" t="s">
        <v>4</v>
      </c>
    </row>
    <row r="511" spans="1:11" ht="16" hidden="1" customHeight="1" x14ac:dyDescent="0.2">
      <c r="A511" s="43">
        <v>46312</v>
      </c>
      <c r="B511" s="104" t="s">
        <v>134</v>
      </c>
      <c r="C511" s="104" t="s">
        <v>138</v>
      </c>
      <c r="D511" s="108">
        <v>10</v>
      </c>
      <c r="E511" s="108">
        <v>19</v>
      </c>
      <c r="F511" s="105" t="s">
        <v>351</v>
      </c>
      <c r="G511" s="106">
        <v>10.5</v>
      </c>
      <c r="H511" s="103">
        <v>0.5</v>
      </c>
      <c r="I511">
        <v>7.68</v>
      </c>
      <c r="J511" t="str">
        <f t="shared" si="8"/>
        <v>No</v>
      </c>
      <c r="K511" s="107" t="s">
        <v>4</v>
      </c>
    </row>
    <row r="512" spans="1:11" ht="16" hidden="1" customHeight="1" x14ac:dyDescent="0.2">
      <c r="A512" s="43">
        <v>46312</v>
      </c>
      <c r="B512" s="104" t="s">
        <v>142</v>
      </c>
      <c r="C512" s="104" t="s">
        <v>140</v>
      </c>
      <c r="D512" s="108">
        <v>10</v>
      </c>
      <c r="E512" s="108">
        <v>2</v>
      </c>
      <c r="F512" s="105" t="s">
        <v>514</v>
      </c>
      <c r="G512" s="106">
        <v>14.5</v>
      </c>
      <c r="H512" s="103">
        <v>0.5</v>
      </c>
      <c r="I512">
        <v>26.54</v>
      </c>
      <c r="J512" t="str">
        <f t="shared" si="8"/>
        <v>Yes</v>
      </c>
      <c r="K512" s="107" t="s">
        <v>4</v>
      </c>
    </row>
    <row r="513" spans="1:11" ht="16" hidden="1" customHeight="1" x14ac:dyDescent="0.2">
      <c r="A513" s="43">
        <v>46312</v>
      </c>
      <c r="B513" s="104" t="s">
        <v>142</v>
      </c>
      <c r="C513" s="104" t="s">
        <v>140</v>
      </c>
      <c r="D513" s="108">
        <v>10</v>
      </c>
      <c r="E513" s="108">
        <v>3</v>
      </c>
      <c r="F513" s="105" t="s">
        <v>515</v>
      </c>
      <c r="G513" s="106">
        <v>8.1999999999999993</v>
      </c>
      <c r="H513" s="103">
        <v>0.5</v>
      </c>
      <c r="I513">
        <v>9.1999999999999993</v>
      </c>
      <c r="J513" t="str">
        <f t="shared" si="8"/>
        <v>Yes</v>
      </c>
      <c r="K513" s="107" t="s">
        <v>4</v>
      </c>
    </row>
    <row r="514" spans="1:11" ht="16" hidden="1" customHeight="1" x14ac:dyDescent="0.2">
      <c r="A514" s="43">
        <v>46312</v>
      </c>
      <c r="B514" s="104" t="s">
        <v>142</v>
      </c>
      <c r="C514" s="104" t="s">
        <v>140</v>
      </c>
      <c r="D514" s="108">
        <v>10</v>
      </c>
      <c r="E514" s="108">
        <v>6</v>
      </c>
      <c r="F514" s="105" t="s">
        <v>516</v>
      </c>
      <c r="G514" s="106">
        <v>8.4</v>
      </c>
      <c r="H514" s="103">
        <v>0.5</v>
      </c>
      <c r="I514">
        <v>7.2</v>
      </c>
      <c r="J514" t="str">
        <f t="shared" si="8"/>
        <v>No</v>
      </c>
      <c r="K514" s="107" t="s">
        <v>4</v>
      </c>
    </row>
    <row r="515" spans="1:11" ht="16" hidden="1" customHeight="1" x14ac:dyDescent="0.2">
      <c r="A515" s="43">
        <v>46312</v>
      </c>
      <c r="B515" s="104" t="s">
        <v>142</v>
      </c>
      <c r="C515" s="104" t="s">
        <v>140</v>
      </c>
      <c r="D515" s="108">
        <v>10</v>
      </c>
      <c r="E515" s="108">
        <v>9</v>
      </c>
      <c r="F515" s="105" t="s">
        <v>407</v>
      </c>
      <c r="G515" s="106">
        <v>12.5</v>
      </c>
      <c r="H515" s="103">
        <v>0.5</v>
      </c>
      <c r="I515">
        <v>9.4600000000000009</v>
      </c>
      <c r="J515" t="str">
        <f t="shared" si="8"/>
        <v>No</v>
      </c>
      <c r="K515" s="107" t="s">
        <v>4</v>
      </c>
    </row>
    <row r="516" spans="1:11" ht="16" hidden="1" customHeight="1" x14ac:dyDescent="0.2">
      <c r="A516" s="43">
        <v>46312</v>
      </c>
      <c r="B516" s="104" t="s">
        <v>142</v>
      </c>
      <c r="C516" s="104" t="s">
        <v>140</v>
      </c>
      <c r="D516" s="108">
        <v>10</v>
      </c>
      <c r="E516" s="108">
        <v>10</v>
      </c>
      <c r="F516" s="105" t="s">
        <v>517</v>
      </c>
      <c r="G516" s="106">
        <v>23</v>
      </c>
      <c r="H516" s="103">
        <v>0.5</v>
      </c>
      <c r="I516">
        <v>11.5</v>
      </c>
      <c r="J516" t="str">
        <f t="shared" si="8"/>
        <v>No</v>
      </c>
      <c r="K516" s="107" t="s">
        <v>4</v>
      </c>
    </row>
    <row r="517" spans="1:11" ht="16" hidden="1" customHeight="1" x14ac:dyDescent="0.2">
      <c r="A517" s="43">
        <v>46316</v>
      </c>
      <c r="B517" s="104" t="s">
        <v>134</v>
      </c>
      <c r="C517" s="104" t="s">
        <v>135</v>
      </c>
      <c r="D517" s="108">
        <v>5</v>
      </c>
      <c r="E517" s="108">
        <v>1</v>
      </c>
      <c r="F517" s="105" t="s">
        <v>438</v>
      </c>
      <c r="G517" s="106">
        <v>17.5</v>
      </c>
      <c r="H517" s="103">
        <v>0.5</v>
      </c>
      <c r="I517">
        <v>17.5</v>
      </c>
      <c r="J517" t="str">
        <f t="shared" si="8"/>
        <v>Yes</v>
      </c>
      <c r="K517" s="107" t="s">
        <v>4</v>
      </c>
    </row>
    <row r="518" spans="1:11" ht="16" hidden="1" customHeight="1" x14ac:dyDescent="0.2">
      <c r="A518" s="43">
        <v>46316</v>
      </c>
      <c r="B518" s="104" t="s">
        <v>134</v>
      </c>
      <c r="C518" s="104" t="s">
        <v>135</v>
      </c>
      <c r="D518" s="108">
        <v>5</v>
      </c>
      <c r="E518" s="108">
        <v>3</v>
      </c>
      <c r="F518" s="105" t="s">
        <v>417</v>
      </c>
      <c r="G518" s="106">
        <v>21</v>
      </c>
      <c r="H518" s="103">
        <v>0.5</v>
      </c>
      <c r="I518">
        <v>21</v>
      </c>
      <c r="J518" t="str">
        <f t="shared" si="8"/>
        <v>Yes</v>
      </c>
      <c r="K518" s="107" t="s">
        <v>4</v>
      </c>
    </row>
    <row r="519" spans="1:11" ht="16" hidden="1" customHeight="1" x14ac:dyDescent="0.2">
      <c r="A519" s="43">
        <v>46316</v>
      </c>
      <c r="B519" s="104" t="s">
        <v>134</v>
      </c>
      <c r="C519" s="104" t="s">
        <v>135</v>
      </c>
      <c r="D519" s="108">
        <v>6</v>
      </c>
      <c r="E519" s="108">
        <v>4</v>
      </c>
      <c r="F519" s="105" t="s">
        <v>518</v>
      </c>
      <c r="G519" s="106">
        <v>16.5</v>
      </c>
      <c r="H519" s="103">
        <v>0.5</v>
      </c>
      <c r="I519">
        <v>15</v>
      </c>
      <c r="J519" t="str">
        <f t="shared" si="8"/>
        <v>No</v>
      </c>
      <c r="K519" s="107" t="s">
        <v>4</v>
      </c>
    </row>
    <row r="520" spans="1:11" ht="16" hidden="1" customHeight="1" x14ac:dyDescent="0.2">
      <c r="A520" s="43">
        <v>46316</v>
      </c>
      <c r="B520" s="104" t="s">
        <v>134</v>
      </c>
      <c r="C520" s="104" t="s">
        <v>135</v>
      </c>
      <c r="D520" s="108">
        <v>7</v>
      </c>
      <c r="E520" s="108">
        <v>1</v>
      </c>
      <c r="F520" s="105" t="s">
        <v>519</v>
      </c>
      <c r="G520" s="106">
        <v>14.5</v>
      </c>
      <c r="H520" s="103">
        <v>0.5</v>
      </c>
      <c r="I520">
        <v>15.8</v>
      </c>
      <c r="J520" t="str">
        <f t="shared" si="8"/>
        <v>Yes</v>
      </c>
      <c r="K520" s="107" t="s">
        <v>4</v>
      </c>
    </row>
    <row r="521" spans="1:11" ht="16" hidden="1" customHeight="1" x14ac:dyDescent="0.2">
      <c r="A521" s="43">
        <v>46316</v>
      </c>
      <c r="B521" s="104" t="s">
        <v>134</v>
      </c>
      <c r="C521" s="104" t="s">
        <v>135</v>
      </c>
      <c r="D521" s="108">
        <v>7</v>
      </c>
      <c r="E521" s="108">
        <v>5</v>
      </c>
      <c r="F521" s="105" t="s">
        <v>520</v>
      </c>
      <c r="G521" s="106">
        <v>10</v>
      </c>
      <c r="H521" s="103">
        <v>0.5</v>
      </c>
      <c r="I521">
        <v>5.8</v>
      </c>
      <c r="J521" t="str">
        <f t="shared" si="8"/>
        <v>No</v>
      </c>
      <c r="K521" s="107" t="s">
        <v>4</v>
      </c>
    </row>
    <row r="522" spans="1:11" ht="16" hidden="1" customHeight="1" x14ac:dyDescent="0.2">
      <c r="A522" s="43">
        <v>46316</v>
      </c>
      <c r="B522" s="104" t="s">
        <v>134</v>
      </c>
      <c r="C522" s="104" t="s">
        <v>135</v>
      </c>
      <c r="D522" s="108">
        <v>7</v>
      </c>
      <c r="E522" s="108">
        <v>7</v>
      </c>
      <c r="F522" s="105" t="s">
        <v>521</v>
      </c>
      <c r="G522" s="106">
        <v>27</v>
      </c>
      <c r="H522" s="103">
        <v>0.5</v>
      </c>
      <c r="I522">
        <v>28.96</v>
      </c>
      <c r="J522" t="str">
        <f t="shared" si="8"/>
        <v>Yes</v>
      </c>
      <c r="K522" s="107" t="s">
        <v>4</v>
      </c>
    </row>
    <row r="523" spans="1:11" ht="16" hidden="1" customHeight="1" x14ac:dyDescent="0.2">
      <c r="A523" s="43">
        <v>46319</v>
      </c>
      <c r="B523" s="104" t="s">
        <v>134</v>
      </c>
      <c r="C523" s="104" t="s">
        <v>138</v>
      </c>
      <c r="D523" s="108">
        <v>3</v>
      </c>
      <c r="E523" s="108">
        <v>7</v>
      </c>
      <c r="F523" s="105" t="s">
        <v>522</v>
      </c>
      <c r="G523" s="106">
        <v>12</v>
      </c>
      <c r="H523" s="103">
        <v>0.5</v>
      </c>
      <c r="I523">
        <v>12</v>
      </c>
      <c r="J523" t="str">
        <f t="shared" si="8"/>
        <v>Yes</v>
      </c>
      <c r="K523" s="107" t="s">
        <v>4</v>
      </c>
    </row>
    <row r="524" spans="1:11" ht="16" hidden="1" customHeight="1" x14ac:dyDescent="0.2">
      <c r="A524" s="43">
        <v>46319</v>
      </c>
      <c r="B524" s="104" t="s">
        <v>134</v>
      </c>
      <c r="C524" s="104" t="s">
        <v>138</v>
      </c>
      <c r="D524" s="108">
        <v>3</v>
      </c>
      <c r="E524" s="108">
        <v>8</v>
      </c>
      <c r="F524" s="105" t="s">
        <v>132</v>
      </c>
      <c r="G524" s="106">
        <v>11</v>
      </c>
      <c r="H524" s="103">
        <v>0.5</v>
      </c>
      <c r="I524">
        <v>9</v>
      </c>
      <c r="J524" t="str">
        <f t="shared" si="8"/>
        <v>No</v>
      </c>
      <c r="K524" s="107" t="s">
        <v>4</v>
      </c>
    </row>
    <row r="525" spans="1:11" ht="16" hidden="1" customHeight="1" x14ac:dyDescent="0.2">
      <c r="A525" s="43">
        <v>46319</v>
      </c>
      <c r="B525" s="104" t="s">
        <v>134</v>
      </c>
      <c r="C525" s="104" t="s">
        <v>138</v>
      </c>
      <c r="D525" s="108">
        <v>3</v>
      </c>
      <c r="E525" s="108">
        <v>12</v>
      </c>
      <c r="F525" s="105" t="s">
        <v>523</v>
      </c>
      <c r="G525" s="106">
        <v>18.5</v>
      </c>
      <c r="H525" s="103">
        <v>0.5</v>
      </c>
      <c r="I525">
        <v>20.04</v>
      </c>
      <c r="J525" t="str">
        <f t="shared" ref="J525:J567" si="9">IF(I525&gt;=G525,"Yes","No")</f>
        <v>Yes</v>
      </c>
      <c r="K525" s="107" t="s">
        <v>4</v>
      </c>
    </row>
    <row r="526" spans="1:11" ht="16" hidden="1" customHeight="1" x14ac:dyDescent="0.2">
      <c r="A526" s="43">
        <v>46319</v>
      </c>
      <c r="B526" s="104" t="s">
        <v>134</v>
      </c>
      <c r="C526" s="104" t="s">
        <v>138</v>
      </c>
      <c r="D526" s="108">
        <v>8</v>
      </c>
      <c r="E526" s="108">
        <v>6</v>
      </c>
      <c r="F526" s="105" t="s">
        <v>524</v>
      </c>
      <c r="G526" s="106">
        <v>20</v>
      </c>
      <c r="H526" s="103">
        <v>0.5</v>
      </c>
      <c r="I526">
        <v>38.97</v>
      </c>
      <c r="J526" t="str">
        <f t="shared" si="9"/>
        <v>Yes</v>
      </c>
      <c r="K526" s="107" t="s">
        <v>4</v>
      </c>
    </row>
    <row r="527" spans="1:11" ht="16" hidden="1" customHeight="1" x14ac:dyDescent="0.2">
      <c r="A527" s="43">
        <v>46319</v>
      </c>
      <c r="B527" s="104" t="s">
        <v>134</v>
      </c>
      <c r="C527" s="104" t="s">
        <v>138</v>
      </c>
      <c r="D527" s="108">
        <v>8</v>
      </c>
      <c r="E527" s="108">
        <v>8</v>
      </c>
      <c r="F527" s="105" t="s">
        <v>465</v>
      </c>
      <c r="G527" s="106">
        <v>13.5</v>
      </c>
      <c r="H527" s="103">
        <v>0.5</v>
      </c>
      <c r="I527">
        <v>13.08</v>
      </c>
      <c r="J527" t="str">
        <f t="shared" si="9"/>
        <v>No</v>
      </c>
      <c r="K527" s="107" t="s">
        <v>4</v>
      </c>
    </row>
    <row r="528" spans="1:11" ht="16" hidden="1" customHeight="1" x14ac:dyDescent="0.2">
      <c r="A528" s="43">
        <v>46319</v>
      </c>
      <c r="B528" s="104" t="s">
        <v>134</v>
      </c>
      <c r="C528" s="104" t="s">
        <v>138</v>
      </c>
      <c r="D528" s="108">
        <v>8</v>
      </c>
      <c r="E528" s="108">
        <v>10</v>
      </c>
      <c r="F528" s="105" t="s">
        <v>398</v>
      </c>
      <c r="G528" s="106">
        <v>12</v>
      </c>
      <c r="H528" s="103">
        <v>0.5</v>
      </c>
      <c r="I528">
        <v>6.8</v>
      </c>
      <c r="J528" t="str">
        <f t="shared" si="9"/>
        <v>No</v>
      </c>
      <c r="K528" s="107" t="s">
        <v>4</v>
      </c>
    </row>
    <row r="529" spans="1:12" ht="16" hidden="1" customHeight="1" x14ac:dyDescent="0.2">
      <c r="A529" s="43">
        <v>46319</v>
      </c>
      <c r="B529" s="104" t="s">
        <v>134</v>
      </c>
      <c r="C529" s="104" t="s">
        <v>138</v>
      </c>
      <c r="D529" s="108">
        <v>10</v>
      </c>
      <c r="E529" s="108">
        <v>11</v>
      </c>
      <c r="F529" s="105" t="s">
        <v>525</v>
      </c>
      <c r="G529" s="106">
        <v>23</v>
      </c>
      <c r="H529" s="103">
        <v>0.5</v>
      </c>
      <c r="I529">
        <v>18.5</v>
      </c>
      <c r="J529" t="str">
        <f t="shared" si="9"/>
        <v>No</v>
      </c>
      <c r="K529" s="107" t="s">
        <v>4</v>
      </c>
    </row>
    <row r="530" spans="1:12" ht="16" hidden="1" customHeight="1" x14ac:dyDescent="0.2">
      <c r="A530" s="43">
        <v>46323</v>
      </c>
      <c r="B530" s="104" t="s">
        <v>134</v>
      </c>
      <c r="C530" s="104" t="s">
        <v>135</v>
      </c>
      <c r="D530" s="108">
        <v>3</v>
      </c>
      <c r="E530" s="108">
        <v>6</v>
      </c>
      <c r="F530" s="105" t="s">
        <v>175</v>
      </c>
      <c r="G530" s="106">
        <v>30</v>
      </c>
      <c r="H530" s="103">
        <v>0.5</v>
      </c>
      <c r="I530">
        <v>30</v>
      </c>
      <c r="J530" t="str">
        <f t="shared" si="9"/>
        <v>Yes</v>
      </c>
      <c r="K530" s="107" t="s">
        <v>4</v>
      </c>
    </row>
    <row r="531" spans="1:12" ht="16" hidden="1" customHeight="1" x14ac:dyDescent="0.2">
      <c r="A531" s="43">
        <v>46323</v>
      </c>
      <c r="B531" s="104" t="s">
        <v>134</v>
      </c>
      <c r="C531" s="104" t="s">
        <v>135</v>
      </c>
      <c r="D531" s="108">
        <v>4</v>
      </c>
      <c r="E531" s="108">
        <v>7</v>
      </c>
      <c r="F531" s="105" t="s">
        <v>283</v>
      </c>
      <c r="G531" s="106">
        <v>17</v>
      </c>
      <c r="H531" s="103">
        <v>0.5</v>
      </c>
      <c r="I531">
        <v>17</v>
      </c>
      <c r="J531" t="str">
        <f t="shared" si="9"/>
        <v>Yes</v>
      </c>
      <c r="K531" s="107" t="s">
        <v>4</v>
      </c>
    </row>
    <row r="532" spans="1:12" ht="16" hidden="1" customHeight="1" x14ac:dyDescent="0.2">
      <c r="A532" s="43">
        <v>46323</v>
      </c>
      <c r="B532" s="104" t="s">
        <v>134</v>
      </c>
      <c r="C532" s="104" t="s">
        <v>135</v>
      </c>
      <c r="D532" s="108">
        <v>5</v>
      </c>
      <c r="E532" s="108">
        <v>3</v>
      </c>
      <c r="F532" s="105" t="s">
        <v>445</v>
      </c>
      <c r="G532" s="106">
        <v>19</v>
      </c>
      <c r="H532" s="103">
        <v>0.5</v>
      </c>
      <c r="I532">
        <v>19</v>
      </c>
      <c r="J532" t="str">
        <f t="shared" si="9"/>
        <v>Yes</v>
      </c>
      <c r="K532" s="107" t="s">
        <v>4</v>
      </c>
    </row>
    <row r="533" spans="1:12" ht="16" hidden="1" customHeight="1" x14ac:dyDescent="0.2">
      <c r="A533" s="43">
        <v>46323</v>
      </c>
      <c r="B533" s="104" t="s">
        <v>134</v>
      </c>
      <c r="C533" s="104" t="s">
        <v>135</v>
      </c>
      <c r="D533" s="108">
        <v>6</v>
      </c>
      <c r="E533" s="108">
        <v>5</v>
      </c>
      <c r="F533" s="105" t="s">
        <v>526</v>
      </c>
      <c r="G533" s="106">
        <v>12.5</v>
      </c>
      <c r="H533" s="103">
        <v>0.5</v>
      </c>
      <c r="I533">
        <v>13.3</v>
      </c>
      <c r="J533" t="str">
        <f t="shared" si="9"/>
        <v>Yes</v>
      </c>
      <c r="K533" s="107" t="s">
        <v>4</v>
      </c>
    </row>
    <row r="534" spans="1:12" ht="16" hidden="1" customHeight="1" x14ac:dyDescent="0.2">
      <c r="A534" s="43">
        <v>46323</v>
      </c>
      <c r="B534" s="104" t="s">
        <v>134</v>
      </c>
      <c r="C534" s="104" t="s">
        <v>135</v>
      </c>
      <c r="D534" s="108">
        <v>6</v>
      </c>
      <c r="E534" s="108">
        <v>14</v>
      </c>
      <c r="F534" s="105" t="s">
        <v>470</v>
      </c>
      <c r="G534" s="106">
        <v>27</v>
      </c>
      <c r="H534" s="103">
        <v>0.5</v>
      </c>
      <c r="I534">
        <v>27.79</v>
      </c>
      <c r="J534" t="str">
        <f t="shared" si="9"/>
        <v>Yes</v>
      </c>
      <c r="K534" s="107" t="s">
        <v>4</v>
      </c>
    </row>
    <row r="535" spans="1:12" ht="16" customHeight="1" x14ac:dyDescent="0.2">
      <c r="A535" s="43">
        <v>46326</v>
      </c>
      <c r="B535" s="104" t="s">
        <v>134</v>
      </c>
      <c r="C535" s="104" t="s">
        <v>138</v>
      </c>
      <c r="D535" s="108">
        <v>1</v>
      </c>
      <c r="E535" s="108">
        <v>5</v>
      </c>
      <c r="F535" s="105" t="s">
        <v>527</v>
      </c>
      <c r="G535" s="106">
        <v>25</v>
      </c>
      <c r="H535" s="103">
        <v>0.5</v>
      </c>
      <c r="I535">
        <v>35.42</v>
      </c>
      <c r="J535" t="str">
        <f t="shared" si="9"/>
        <v>Yes</v>
      </c>
      <c r="K535" s="107" t="s">
        <v>4</v>
      </c>
      <c r="L535" s="109"/>
    </row>
    <row r="536" spans="1:12" ht="16" customHeight="1" x14ac:dyDescent="0.2">
      <c r="A536" s="43">
        <v>46326</v>
      </c>
      <c r="B536" s="104" t="s">
        <v>134</v>
      </c>
      <c r="C536" s="104" t="s">
        <v>138</v>
      </c>
      <c r="D536" s="108">
        <v>2</v>
      </c>
      <c r="E536" s="108">
        <v>8</v>
      </c>
      <c r="F536" s="105" t="s">
        <v>528</v>
      </c>
      <c r="G536" s="106">
        <v>19.5</v>
      </c>
      <c r="H536" s="103">
        <v>0.5</v>
      </c>
      <c r="I536">
        <v>23.63</v>
      </c>
      <c r="J536" t="str">
        <f t="shared" si="9"/>
        <v>Yes</v>
      </c>
      <c r="K536" s="107" t="s">
        <v>4</v>
      </c>
      <c r="L536" s="109"/>
    </row>
    <row r="537" spans="1:12" ht="16" customHeight="1" x14ac:dyDescent="0.2">
      <c r="A537" s="43">
        <v>46326</v>
      </c>
      <c r="B537" s="104" t="s">
        <v>134</v>
      </c>
      <c r="C537" s="104" t="s">
        <v>138</v>
      </c>
      <c r="D537" s="108">
        <v>3</v>
      </c>
      <c r="E537" s="108">
        <v>6</v>
      </c>
      <c r="F537" s="105" t="s">
        <v>529</v>
      </c>
      <c r="G537" s="106">
        <v>24</v>
      </c>
      <c r="H537" s="103">
        <v>0.5</v>
      </c>
      <c r="I537">
        <v>21</v>
      </c>
      <c r="J537" t="str">
        <f t="shared" si="9"/>
        <v>No</v>
      </c>
      <c r="K537" s="107" t="s">
        <v>4</v>
      </c>
      <c r="L537" s="109"/>
    </row>
    <row r="538" spans="1:12" ht="16" customHeight="1" x14ac:dyDescent="0.2">
      <c r="A538" s="43">
        <v>46326</v>
      </c>
      <c r="B538" s="104" t="s">
        <v>134</v>
      </c>
      <c r="C538" s="104" t="s">
        <v>138</v>
      </c>
      <c r="D538" s="108">
        <v>3</v>
      </c>
      <c r="E538" s="108">
        <v>7</v>
      </c>
      <c r="F538" s="105" t="s">
        <v>530</v>
      </c>
      <c r="G538" s="106">
        <v>20</v>
      </c>
      <c r="H538" s="103">
        <v>0.5</v>
      </c>
      <c r="I538">
        <v>39.130000000000003</v>
      </c>
      <c r="J538" t="str">
        <f t="shared" si="9"/>
        <v>Yes</v>
      </c>
      <c r="K538" s="107" t="s">
        <v>4</v>
      </c>
      <c r="L538" s="109"/>
    </row>
    <row r="539" spans="1:12" ht="16" customHeight="1" x14ac:dyDescent="0.2">
      <c r="A539" s="43">
        <v>46326</v>
      </c>
      <c r="B539" s="104" t="s">
        <v>134</v>
      </c>
      <c r="C539" s="104" t="s">
        <v>138</v>
      </c>
      <c r="D539" s="108">
        <v>4</v>
      </c>
      <c r="E539" s="108">
        <v>8</v>
      </c>
      <c r="F539" s="105" t="s">
        <v>531</v>
      </c>
      <c r="G539" s="106">
        <v>12</v>
      </c>
      <c r="H539" s="103">
        <v>0.5</v>
      </c>
      <c r="I539">
        <v>11.5</v>
      </c>
      <c r="J539" t="str">
        <f t="shared" si="9"/>
        <v>No</v>
      </c>
      <c r="K539" s="107" t="s">
        <v>4</v>
      </c>
      <c r="L539" s="109"/>
    </row>
    <row r="540" spans="1:12" ht="16" customHeight="1" x14ac:dyDescent="0.2">
      <c r="A540" s="43">
        <v>46326</v>
      </c>
      <c r="B540" s="104" t="s">
        <v>134</v>
      </c>
      <c r="C540" s="104" t="s">
        <v>138</v>
      </c>
      <c r="D540" s="108">
        <v>4</v>
      </c>
      <c r="E540" s="108">
        <v>11</v>
      </c>
      <c r="F540" s="105" t="s">
        <v>444</v>
      </c>
      <c r="G540" s="106">
        <v>27</v>
      </c>
      <c r="H540" s="103">
        <v>0.5</v>
      </c>
      <c r="I540">
        <v>27</v>
      </c>
      <c r="J540" t="str">
        <f t="shared" si="9"/>
        <v>Yes</v>
      </c>
      <c r="K540" s="107" t="s">
        <v>4</v>
      </c>
      <c r="L540" s="109"/>
    </row>
    <row r="541" spans="1:12" ht="16" customHeight="1" x14ac:dyDescent="0.2">
      <c r="A541" s="43">
        <v>46326</v>
      </c>
      <c r="B541" s="104" t="s">
        <v>134</v>
      </c>
      <c r="C541" s="104" t="s">
        <v>138</v>
      </c>
      <c r="D541" s="108">
        <v>4</v>
      </c>
      <c r="E541" s="108">
        <v>16</v>
      </c>
      <c r="F541" s="105" t="s">
        <v>532</v>
      </c>
      <c r="G541" s="106">
        <v>16</v>
      </c>
      <c r="H541" s="103">
        <v>0.5</v>
      </c>
      <c r="I541">
        <v>13</v>
      </c>
      <c r="J541" t="str">
        <f t="shared" si="9"/>
        <v>No</v>
      </c>
      <c r="K541" s="107" t="s">
        <v>4</v>
      </c>
      <c r="L541" s="109"/>
    </row>
    <row r="542" spans="1:12" ht="16" customHeight="1" x14ac:dyDescent="0.2">
      <c r="A542" s="43">
        <v>46326</v>
      </c>
      <c r="B542" s="104" t="s">
        <v>142</v>
      </c>
      <c r="C542" s="104" t="s">
        <v>140</v>
      </c>
      <c r="D542" s="108">
        <v>3</v>
      </c>
      <c r="E542" s="108">
        <v>1</v>
      </c>
      <c r="F542" s="105" t="s">
        <v>533</v>
      </c>
      <c r="G542" s="106">
        <v>12</v>
      </c>
      <c r="H542" s="103">
        <v>0.5</v>
      </c>
      <c r="I542">
        <v>11.5</v>
      </c>
      <c r="J542" t="str">
        <f t="shared" si="9"/>
        <v>No</v>
      </c>
      <c r="K542" s="107" t="s">
        <v>4</v>
      </c>
      <c r="L542" s="109"/>
    </row>
    <row r="543" spans="1:12" ht="16" customHeight="1" x14ac:dyDescent="0.2">
      <c r="A543" s="43">
        <v>46326</v>
      </c>
      <c r="B543" s="104" t="s">
        <v>142</v>
      </c>
      <c r="C543" s="104" t="s">
        <v>140</v>
      </c>
      <c r="D543" s="108">
        <v>3</v>
      </c>
      <c r="E543" s="108">
        <v>10</v>
      </c>
      <c r="F543" s="105" t="s">
        <v>534</v>
      </c>
      <c r="G543" s="106">
        <v>16.5</v>
      </c>
      <c r="H543" s="103">
        <v>0.5</v>
      </c>
      <c r="I543">
        <v>16.5</v>
      </c>
      <c r="J543" t="str">
        <f t="shared" si="9"/>
        <v>Yes</v>
      </c>
      <c r="K543" s="107" t="s">
        <v>4</v>
      </c>
      <c r="L543" s="109"/>
    </row>
    <row r="544" spans="1:12" ht="16" customHeight="1" x14ac:dyDescent="0.2">
      <c r="A544" s="43">
        <v>46326</v>
      </c>
      <c r="B544" s="104" t="s">
        <v>142</v>
      </c>
      <c r="C544" s="104" t="s">
        <v>140</v>
      </c>
      <c r="D544" s="108">
        <v>4</v>
      </c>
      <c r="E544" s="108">
        <v>3</v>
      </c>
      <c r="F544" s="105" t="s">
        <v>535</v>
      </c>
      <c r="G544" s="106">
        <v>27</v>
      </c>
      <c r="H544" s="103">
        <v>0.5</v>
      </c>
      <c r="I544">
        <v>29.04</v>
      </c>
      <c r="J544" t="str">
        <f t="shared" si="9"/>
        <v>Yes</v>
      </c>
      <c r="K544" s="107" t="s">
        <v>4</v>
      </c>
      <c r="L544" s="109"/>
    </row>
    <row r="545" spans="1:12" ht="16" customHeight="1" x14ac:dyDescent="0.2">
      <c r="A545" s="43">
        <v>46326</v>
      </c>
      <c r="B545" s="104" t="s">
        <v>142</v>
      </c>
      <c r="C545" s="104" t="s">
        <v>140</v>
      </c>
      <c r="D545" s="108">
        <v>4</v>
      </c>
      <c r="E545" s="108">
        <v>19</v>
      </c>
      <c r="F545" s="105" t="s">
        <v>536</v>
      </c>
      <c r="G545" s="106">
        <v>18</v>
      </c>
      <c r="H545" s="103">
        <v>0.5</v>
      </c>
      <c r="I545">
        <v>15.98</v>
      </c>
      <c r="J545" t="str">
        <f t="shared" si="9"/>
        <v>No</v>
      </c>
      <c r="K545" s="107" t="s">
        <v>4</v>
      </c>
      <c r="L545" s="109"/>
    </row>
    <row r="546" spans="1:12" ht="16" customHeight="1" x14ac:dyDescent="0.2">
      <c r="A546" s="43">
        <v>46326</v>
      </c>
      <c r="B546" s="104" t="s">
        <v>134</v>
      </c>
      <c r="C546" s="104" t="s">
        <v>138</v>
      </c>
      <c r="D546" s="108">
        <v>6</v>
      </c>
      <c r="E546" s="108">
        <v>6</v>
      </c>
      <c r="F546" s="105" t="s">
        <v>537</v>
      </c>
      <c r="G546" s="106">
        <v>23</v>
      </c>
      <c r="H546" s="103">
        <v>0.5</v>
      </c>
      <c r="I546">
        <v>18.5</v>
      </c>
      <c r="J546" t="str">
        <f t="shared" si="9"/>
        <v>No</v>
      </c>
      <c r="K546" s="107" t="s">
        <v>4</v>
      </c>
      <c r="L546" s="109"/>
    </row>
    <row r="547" spans="1:12" ht="16" customHeight="1" x14ac:dyDescent="0.2">
      <c r="A547" s="43">
        <v>46326</v>
      </c>
      <c r="B547" s="104" t="s">
        <v>134</v>
      </c>
      <c r="C547" s="104" t="s">
        <v>138</v>
      </c>
      <c r="D547" s="108">
        <v>7</v>
      </c>
      <c r="E547" s="108">
        <v>2</v>
      </c>
      <c r="F547" s="105" t="s">
        <v>538</v>
      </c>
      <c r="G547" s="106">
        <v>11.5</v>
      </c>
      <c r="H547" s="103">
        <v>0.5</v>
      </c>
      <c r="I547">
        <v>10.5</v>
      </c>
      <c r="J547" t="str">
        <f t="shared" si="9"/>
        <v>No</v>
      </c>
      <c r="K547" s="107" t="s">
        <v>4</v>
      </c>
      <c r="L547" s="109"/>
    </row>
    <row r="548" spans="1:12" ht="16" customHeight="1" x14ac:dyDescent="0.2">
      <c r="A548" s="43">
        <v>46326</v>
      </c>
      <c r="B548" s="104" t="s">
        <v>134</v>
      </c>
      <c r="C548" s="104" t="s">
        <v>138</v>
      </c>
      <c r="D548" s="108">
        <v>7</v>
      </c>
      <c r="E548" s="108">
        <v>3</v>
      </c>
      <c r="F548" s="105" t="s">
        <v>404</v>
      </c>
      <c r="G548" s="106">
        <v>18.5</v>
      </c>
      <c r="H548" s="103">
        <v>0.5</v>
      </c>
      <c r="I548">
        <v>19.41</v>
      </c>
      <c r="J548" t="str">
        <f t="shared" si="9"/>
        <v>Yes</v>
      </c>
      <c r="K548" s="107" t="s">
        <v>4</v>
      </c>
      <c r="L548" s="109"/>
    </row>
    <row r="549" spans="1:12" ht="16" customHeight="1" x14ac:dyDescent="0.2">
      <c r="A549" s="43">
        <v>46326</v>
      </c>
      <c r="B549" s="104" t="s">
        <v>134</v>
      </c>
      <c r="C549" s="104" t="s">
        <v>138</v>
      </c>
      <c r="D549" s="108">
        <v>7</v>
      </c>
      <c r="E549" s="108">
        <v>4</v>
      </c>
      <c r="F549" s="105" t="s">
        <v>497</v>
      </c>
      <c r="G549" s="106">
        <v>18.5</v>
      </c>
      <c r="H549" s="103">
        <v>0.5</v>
      </c>
      <c r="I549">
        <v>21.97</v>
      </c>
      <c r="J549" t="str">
        <f t="shared" si="9"/>
        <v>Yes</v>
      </c>
      <c r="K549" s="107" t="s">
        <v>4</v>
      </c>
      <c r="L549" s="109"/>
    </row>
    <row r="550" spans="1:12" ht="16" customHeight="1" x14ac:dyDescent="0.2">
      <c r="A550" s="43">
        <v>46326</v>
      </c>
      <c r="B550" s="104" t="s">
        <v>134</v>
      </c>
      <c r="C550" s="104" t="s">
        <v>138</v>
      </c>
      <c r="D550" s="108">
        <v>7</v>
      </c>
      <c r="E550" s="108">
        <v>5</v>
      </c>
      <c r="F550" s="105" t="s">
        <v>322</v>
      </c>
      <c r="G550" s="106">
        <v>12.5</v>
      </c>
      <c r="H550" s="103">
        <v>0.5</v>
      </c>
      <c r="I550">
        <v>15</v>
      </c>
      <c r="J550" t="str">
        <f t="shared" si="9"/>
        <v>Yes</v>
      </c>
      <c r="K550" s="107" t="s">
        <v>4</v>
      </c>
      <c r="L550" s="109"/>
    </row>
    <row r="551" spans="1:12" ht="16" customHeight="1" x14ac:dyDescent="0.2">
      <c r="A551" s="43">
        <v>46326</v>
      </c>
      <c r="B551" s="104" t="s">
        <v>134</v>
      </c>
      <c r="C551" s="104" t="s">
        <v>138</v>
      </c>
      <c r="D551" s="108">
        <v>7</v>
      </c>
      <c r="E551" s="108">
        <v>9</v>
      </c>
      <c r="F551" s="105" t="s">
        <v>321</v>
      </c>
      <c r="G551" s="106">
        <v>28</v>
      </c>
      <c r="H551" s="103">
        <v>0.5</v>
      </c>
      <c r="I551">
        <v>36.450000000000003</v>
      </c>
      <c r="J551" t="str">
        <f t="shared" si="9"/>
        <v>Yes</v>
      </c>
      <c r="K551" s="107" t="s">
        <v>4</v>
      </c>
      <c r="L551" s="109"/>
    </row>
    <row r="552" spans="1:12" ht="16" customHeight="1" x14ac:dyDescent="0.2">
      <c r="A552" s="43">
        <v>46326</v>
      </c>
      <c r="B552" s="104" t="s">
        <v>134</v>
      </c>
      <c r="C552" s="104" t="s">
        <v>138</v>
      </c>
      <c r="D552" s="108">
        <v>7</v>
      </c>
      <c r="E552" s="108">
        <v>11</v>
      </c>
      <c r="F552" s="105" t="s">
        <v>405</v>
      </c>
      <c r="G552" s="106">
        <v>26</v>
      </c>
      <c r="H552" s="103">
        <v>0.5</v>
      </c>
      <c r="I552">
        <v>28.54</v>
      </c>
      <c r="J552" t="str">
        <f t="shared" si="9"/>
        <v>Yes</v>
      </c>
      <c r="K552" s="107" t="s">
        <v>4</v>
      </c>
      <c r="L552" s="109"/>
    </row>
    <row r="553" spans="1:12" ht="16" customHeight="1" x14ac:dyDescent="0.2">
      <c r="A553" s="43">
        <v>46326</v>
      </c>
      <c r="B553" s="104" t="s">
        <v>142</v>
      </c>
      <c r="C553" s="104" t="s">
        <v>140</v>
      </c>
      <c r="D553" s="108">
        <v>6</v>
      </c>
      <c r="E553" s="108">
        <v>5</v>
      </c>
      <c r="F553" s="105" t="s">
        <v>461</v>
      </c>
      <c r="G553" s="106">
        <v>29</v>
      </c>
      <c r="H553" s="103">
        <v>0.5</v>
      </c>
      <c r="I553">
        <v>29.75</v>
      </c>
      <c r="J553" t="str">
        <f t="shared" si="9"/>
        <v>Yes</v>
      </c>
      <c r="K553" s="107" t="s">
        <v>4</v>
      </c>
      <c r="L553" s="109"/>
    </row>
    <row r="554" spans="1:12" ht="16" customHeight="1" x14ac:dyDescent="0.2">
      <c r="A554" s="43">
        <v>46326</v>
      </c>
      <c r="B554" s="104" t="s">
        <v>134</v>
      </c>
      <c r="C554" s="104" t="s">
        <v>138</v>
      </c>
      <c r="D554" s="108">
        <v>8</v>
      </c>
      <c r="E554" s="108">
        <v>2</v>
      </c>
      <c r="F554" s="105" t="s">
        <v>539</v>
      </c>
      <c r="G554" s="106">
        <v>14.5</v>
      </c>
      <c r="H554" s="103">
        <v>0.5</v>
      </c>
      <c r="I554">
        <v>10.199999999999999</v>
      </c>
      <c r="J554" t="str">
        <f t="shared" si="9"/>
        <v>No</v>
      </c>
      <c r="K554" s="107" t="s">
        <v>4</v>
      </c>
      <c r="L554" s="109"/>
    </row>
    <row r="555" spans="1:12" ht="16" customHeight="1" x14ac:dyDescent="0.2">
      <c r="A555" s="43">
        <v>46326</v>
      </c>
      <c r="B555" s="104" t="s">
        <v>142</v>
      </c>
      <c r="C555" s="104" t="s">
        <v>140</v>
      </c>
      <c r="D555" s="108">
        <v>7</v>
      </c>
      <c r="E555" s="108">
        <v>10</v>
      </c>
      <c r="F555" s="105" t="s">
        <v>540</v>
      </c>
      <c r="G555" s="106">
        <v>22</v>
      </c>
      <c r="H555" s="103">
        <v>0.5</v>
      </c>
      <c r="I555">
        <v>18.5</v>
      </c>
      <c r="J555" t="str">
        <f t="shared" si="9"/>
        <v>No</v>
      </c>
      <c r="K555" s="107" t="s">
        <v>4</v>
      </c>
      <c r="L555" s="109"/>
    </row>
    <row r="556" spans="1:12" ht="16" customHeight="1" x14ac:dyDescent="0.2">
      <c r="A556" s="43">
        <v>46326</v>
      </c>
      <c r="B556" s="104" t="s">
        <v>142</v>
      </c>
      <c r="C556" s="104" t="s">
        <v>140</v>
      </c>
      <c r="D556" s="108">
        <v>7</v>
      </c>
      <c r="E556" s="108">
        <v>15</v>
      </c>
      <c r="F556" s="105" t="s">
        <v>499</v>
      </c>
      <c r="G556" s="106">
        <v>9.1999999999999993</v>
      </c>
      <c r="H556" s="103">
        <v>0.5</v>
      </c>
      <c r="I556">
        <v>9.1999999999999993</v>
      </c>
      <c r="J556" t="str">
        <f t="shared" si="9"/>
        <v>Yes</v>
      </c>
      <c r="K556" s="107" t="s">
        <v>4</v>
      </c>
      <c r="L556" s="109"/>
    </row>
    <row r="557" spans="1:12" ht="16" customHeight="1" x14ac:dyDescent="0.2">
      <c r="A557" s="43">
        <v>46326</v>
      </c>
      <c r="B557" s="104" t="s">
        <v>134</v>
      </c>
      <c r="C557" s="104" t="s">
        <v>138</v>
      </c>
      <c r="D557" s="108">
        <v>9</v>
      </c>
      <c r="E557" s="108">
        <v>4</v>
      </c>
      <c r="F557" s="105" t="s">
        <v>541</v>
      </c>
      <c r="G557" s="106">
        <v>26</v>
      </c>
      <c r="H557" s="103">
        <v>0.5</v>
      </c>
      <c r="I557">
        <v>57.81</v>
      </c>
      <c r="J557" t="str">
        <f t="shared" si="9"/>
        <v>Yes</v>
      </c>
      <c r="K557" s="107" t="s">
        <v>4</v>
      </c>
      <c r="L557" s="109"/>
    </row>
    <row r="558" spans="1:12" ht="16" customHeight="1" x14ac:dyDescent="0.2">
      <c r="A558" s="43">
        <v>46326</v>
      </c>
      <c r="B558" s="104" t="s">
        <v>142</v>
      </c>
      <c r="C558" s="104" t="s">
        <v>140</v>
      </c>
      <c r="D558" s="108">
        <v>8</v>
      </c>
      <c r="E558" s="108">
        <v>1</v>
      </c>
      <c r="F558" s="105" t="s">
        <v>510</v>
      </c>
      <c r="G558" s="106">
        <v>11</v>
      </c>
      <c r="H558" s="103">
        <v>0.5</v>
      </c>
      <c r="I558">
        <v>15.5</v>
      </c>
      <c r="J558" t="str">
        <f t="shared" si="9"/>
        <v>Yes</v>
      </c>
      <c r="K558" s="107" t="s">
        <v>4</v>
      </c>
      <c r="L558" s="109"/>
    </row>
    <row r="559" spans="1:12" ht="16" customHeight="1" x14ac:dyDescent="0.2">
      <c r="A559" s="43">
        <v>46326</v>
      </c>
      <c r="B559" s="104" t="s">
        <v>142</v>
      </c>
      <c r="C559" s="104" t="s">
        <v>140</v>
      </c>
      <c r="D559" s="108">
        <v>8</v>
      </c>
      <c r="E559" s="108">
        <v>6</v>
      </c>
      <c r="F559" s="105" t="s">
        <v>251</v>
      </c>
      <c r="G559" s="106">
        <v>22</v>
      </c>
      <c r="H559" s="103">
        <v>0.5</v>
      </c>
      <c r="I559">
        <v>30</v>
      </c>
      <c r="J559" t="str">
        <f t="shared" si="9"/>
        <v>Yes</v>
      </c>
      <c r="K559" s="107" t="s">
        <v>4</v>
      </c>
      <c r="L559" s="109"/>
    </row>
    <row r="560" spans="1:12" ht="16" customHeight="1" x14ac:dyDescent="0.2">
      <c r="A560" s="43">
        <v>46326</v>
      </c>
      <c r="B560" s="104" t="s">
        <v>142</v>
      </c>
      <c r="C560" s="104" t="s">
        <v>140</v>
      </c>
      <c r="D560" s="108">
        <v>8</v>
      </c>
      <c r="E560" s="108">
        <v>9</v>
      </c>
      <c r="F560" s="105" t="s">
        <v>542</v>
      </c>
      <c r="G560" s="106">
        <v>8.8000000000000007</v>
      </c>
      <c r="H560" s="103">
        <v>0.5</v>
      </c>
      <c r="I560">
        <v>12.5</v>
      </c>
      <c r="J560" t="str">
        <f t="shared" si="9"/>
        <v>Yes</v>
      </c>
      <c r="K560" s="107" t="s">
        <v>4</v>
      </c>
      <c r="L560" s="109"/>
    </row>
    <row r="561" spans="1:12" ht="16" customHeight="1" x14ac:dyDescent="0.2">
      <c r="A561" s="43">
        <v>46326</v>
      </c>
      <c r="B561" s="104" t="s">
        <v>134</v>
      </c>
      <c r="C561" s="104" t="s">
        <v>138</v>
      </c>
      <c r="D561" s="108">
        <v>10</v>
      </c>
      <c r="E561" s="108">
        <v>13</v>
      </c>
      <c r="F561" s="105" t="s">
        <v>543</v>
      </c>
      <c r="G561" s="106">
        <v>15.5</v>
      </c>
      <c r="H561" s="103">
        <v>0.5</v>
      </c>
      <c r="I561">
        <v>15.5</v>
      </c>
      <c r="J561" t="str">
        <f t="shared" si="9"/>
        <v>Yes</v>
      </c>
      <c r="K561" s="107" t="s">
        <v>4</v>
      </c>
      <c r="L561" s="109"/>
    </row>
    <row r="562" spans="1:12" ht="16" customHeight="1" x14ac:dyDescent="0.2">
      <c r="A562" s="43">
        <v>46326</v>
      </c>
      <c r="B562" s="104" t="s">
        <v>134</v>
      </c>
      <c r="C562" s="104" t="s">
        <v>138</v>
      </c>
      <c r="D562" s="108">
        <v>10</v>
      </c>
      <c r="E562" s="108">
        <v>15</v>
      </c>
      <c r="F562" s="105" t="s">
        <v>544</v>
      </c>
      <c r="G562" s="106">
        <v>15</v>
      </c>
      <c r="H562" s="103">
        <v>0.5</v>
      </c>
      <c r="I562">
        <v>14.5</v>
      </c>
      <c r="J562" t="str">
        <f t="shared" si="9"/>
        <v>No</v>
      </c>
      <c r="K562" s="107" t="s">
        <v>4</v>
      </c>
      <c r="L562" s="109"/>
    </row>
    <row r="563" spans="1:12" ht="16" customHeight="1" x14ac:dyDescent="0.2">
      <c r="A563" s="43">
        <v>46326</v>
      </c>
      <c r="B563" s="104" t="s">
        <v>142</v>
      </c>
      <c r="C563" s="104" t="s">
        <v>140</v>
      </c>
      <c r="D563" s="108">
        <v>9</v>
      </c>
      <c r="E563" s="108">
        <v>1</v>
      </c>
      <c r="F563" s="105" t="s">
        <v>514</v>
      </c>
      <c r="G563" s="106">
        <v>22</v>
      </c>
      <c r="H563" s="103">
        <v>0.5</v>
      </c>
      <c r="I563">
        <v>22</v>
      </c>
      <c r="J563" t="str">
        <f t="shared" si="9"/>
        <v>Yes</v>
      </c>
      <c r="K563" s="107" t="s">
        <v>4</v>
      </c>
      <c r="L563" s="109"/>
    </row>
    <row r="564" spans="1:12" ht="16" customHeight="1" x14ac:dyDescent="0.2">
      <c r="A564" s="43">
        <v>46326</v>
      </c>
      <c r="B564" s="104" t="s">
        <v>142</v>
      </c>
      <c r="C564" s="104" t="s">
        <v>140</v>
      </c>
      <c r="D564" s="108">
        <v>9</v>
      </c>
      <c r="E564" s="108">
        <v>8</v>
      </c>
      <c r="F564" s="105" t="s">
        <v>545</v>
      </c>
      <c r="G564" s="106">
        <v>12</v>
      </c>
      <c r="H564" s="103">
        <v>0.5</v>
      </c>
      <c r="I564">
        <v>11.16</v>
      </c>
      <c r="J564" t="str">
        <f t="shared" si="9"/>
        <v>No</v>
      </c>
      <c r="K564" s="107" t="s">
        <v>4</v>
      </c>
      <c r="L564" s="109"/>
    </row>
    <row r="565" spans="1:12" ht="16" customHeight="1" x14ac:dyDescent="0.2">
      <c r="A565" s="43">
        <v>46326</v>
      </c>
      <c r="B565" s="104" t="s">
        <v>142</v>
      </c>
      <c r="C565" s="104" t="s">
        <v>140</v>
      </c>
      <c r="D565" s="108">
        <v>10</v>
      </c>
      <c r="E565" s="108">
        <v>2</v>
      </c>
      <c r="F565" s="105" t="s">
        <v>546</v>
      </c>
      <c r="G565" s="106">
        <v>9</v>
      </c>
      <c r="H565" s="103">
        <v>0.5</v>
      </c>
      <c r="I565">
        <v>9</v>
      </c>
      <c r="J565" t="str">
        <f t="shared" si="9"/>
        <v>Yes</v>
      </c>
      <c r="K565" s="107" t="s">
        <v>4</v>
      </c>
      <c r="L565" s="109"/>
    </row>
    <row r="566" spans="1:12" ht="16" customHeight="1" x14ac:dyDescent="0.2">
      <c r="A566" s="43">
        <v>46326</v>
      </c>
      <c r="B566" s="104" t="s">
        <v>142</v>
      </c>
      <c r="C566" s="104" t="s">
        <v>140</v>
      </c>
      <c r="D566" s="108">
        <v>10</v>
      </c>
      <c r="E566" s="108">
        <v>5</v>
      </c>
      <c r="F566" s="105" t="s">
        <v>509</v>
      </c>
      <c r="G566" s="106">
        <v>13</v>
      </c>
      <c r="H566" s="103">
        <v>0.5</v>
      </c>
      <c r="I566">
        <v>17</v>
      </c>
      <c r="J566" t="str">
        <f t="shared" si="9"/>
        <v>Yes</v>
      </c>
      <c r="K566" s="107" t="s">
        <v>4</v>
      </c>
      <c r="L566" s="109"/>
    </row>
    <row r="567" spans="1:12" ht="16" customHeight="1" x14ac:dyDescent="0.2">
      <c r="A567" s="43">
        <v>46326</v>
      </c>
      <c r="B567" s="104" t="s">
        <v>142</v>
      </c>
      <c r="C567" s="104" t="s">
        <v>140</v>
      </c>
      <c r="D567" s="108">
        <v>10</v>
      </c>
      <c r="E567" s="108">
        <v>11</v>
      </c>
      <c r="F567" s="105" t="s">
        <v>547</v>
      </c>
      <c r="G567" s="106">
        <v>10</v>
      </c>
      <c r="H567" s="103">
        <v>0.5</v>
      </c>
      <c r="I567">
        <v>18</v>
      </c>
      <c r="J567" t="str">
        <f t="shared" si="9"/>
        <v>Yes</v>
      </c>
      <c r="K567" s="107" t="s">
        <v>4</v>
      </c>
      <c r="L567" s="109"/>
    </row>
  </sheetData>
  <autoFilter ref="A1:J567" xr:uid="{6C806B0E-68D9-594B-979D-A6AF6211ED16}">
    <filterColumn colId="0">
      <filters>
        <dateGroupItem year="2026" month="10" day="31" dateTimeGrouping="day"/>
      </filters>
    </filterColumn>
  </autoFilter>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4A6E-B9AB-4691-9541-8DA7C871A98B}">
  <dimension ref="A1:AI42"/>
  <sheetViews>
    <sheetView workbookViewId="0">
      <selection activeCell="A22" sqref="A22"/>
    </sheetView>
  </sheetViews>
  <sheetFormatPr baseColWidth="10" defaultColWidth="8.83203125" defaultRowHeight="16" x14ac:dyDescent="0.2"/>
  <cols>
    <col min="1" max="1" width="13.5" style="48" customWidth="1"/>
    <col min="2" max="2" width="12.5" bestFit="1" customWidth="1"/>
    <col min="3" max="3" width="18" bestFit="1" customWidth="1"/>
    <col min="4" max="4" width="9.6640625" bestFit="1" customWidth="1"/>
    <col min="5" max="5" width="8" bestFit="1" customWidth="1"/>
    <col min="6" max="6" width="10.1640625" bestFit="1" customWidth="1"/>
    <col min="7" max="15" width="6" style="13" bestFit="1" customWidth="1"/>
    <col min="16" max="19" width="8" style="13" bestFit="1" customWidth="1"/>
    <col min="20" max="20" width="5.33203125" style="13" bestFit="1" customWidth="1"/>
    <col min="21" max="21" width="15.5" bestFit="1" customWidth="1"/>
    <col min="22" max="22" width="8" style="13" bestFit="1" customWidth="1"/>
    <col min="23" max="23" width="7" style="13" bestFit="1" customWidth="1"/>
    <col min="24" max="31" width="8" style="13" bestFit="1" customWidth="1"/>
    <col min="32" max="35" width="8" bestFit="1" customWidth="1"/>
  </cols>
  <sheetData>
    <row r="1" spans="1:35" x14ac:dyDescent="0.2">
      <c r="A1" s="51" t="s">
        <v>68</v>
      </c>
      <c r="B1" s="51" t="s">
        <v>69</v>
      </c>
      <c r="C1" s="51" t="s">
        <v>100</v>
      </c>
      <c r="D1" s="51" t="s">
        <v>101</v>
      </c>
      <c r="E1" s="51" t="s">
        <v>25</v>
      </c>
      <c r="F1" s="51" t="s">
        <v>62</v>
      </c>
      <c r="G1" s="51" t="s">
        <v>71</v>
      </c>
      <c r="H1" s="51" t="s">
        <v>72</v>
      </c>
      <c r="I1" s="51" t="s">
        <v>73</v>
      </c>
      <c r="J1" s="51" t="s">
        <v>74</v>
      </c>
      <c r="K1" s="51" t="s">
        <v>75</v>
      </c>
      <c r="L1" s="51" t="s">
        <v>76</v>
      </c>
      <c r="M1" s="51" t="s">
        <v>77</v>
      </c>
      <c r="N1" s="51" t="s">
        <v>78</v>
      </c>
      <c r="O1" s="51" t="s">
        <v>79</v>
      </c>
      <c r="P1" s="51" t="s">
        <v>80</v>
      </c>
      <c r="Q1" s="51" t="s">
        <v>81</v>
      </c>
      <c r="R1" s="51" t="s">
        <v>82</v>
      </c>
      <c r="S1" s="51" t="s">
        <v>83</v>
      </c>
      <c r="T1" s="51" t="s">
        <v>84</v>
      </c>
      <c r="U1" s="51" t="s">
        <v>85</v>
      </c>
      <c r="V1" s="51" t="s">
        <v>71</v>
      </c>
      <c r="W1" s="51" t="s">
        <v>72</v>
      </c>
      <c r="X1" s="51" t="s">
        <v>73</v>
      </c>
      <c r="Y1" s="51" t="s">
        <v>74</v>
      </c>
      <c r="Z1" s="51" t="s">
        <v>75</v>
      </c>
      <c r="AA1" s="51" t="s">
        <v>76</v>
      </c>
      <c r="AB1" s="51" t="s">
        <v>77</v>
      </c>
      <c r="AC1" s="51" t="s">
        <v>78</v>
      </c>
      <c r="AD1" s="51" t="s">
        <v>79</v>
      </c>
      <c r="AE1" s="51" t="s">
        <v>80</v>
      </c>
      <c r="AF1" s="51" t="s">
        <v>81</v>
      </c>
      <c r="AG1" s="51" t="s">
        <v>82</v>
      </c>
      <c r="AH1" s="51" t="s">
        <v>83</v>
      </c>
      <c r="AI1" s="51" t="s">
        <v>84</v>
      </c>
    </row>
    <row r="2" spans="1:35" x14ac:dyDescent="0.2">
      <c r="A2" s="54" t="s">
        <v>137</v>
      </c>
      <c r="B2" s="75" cm="1">
        <f t="array" ref="B2">SUMPRODUCT((TRIM('DATA INPUT'!$H$3:$H$8999)=$A2)*'DATA INPUT'!$L$3:$L$8999)</f>
        <v>2.5</v>
      </c>
      <c r="C2" s="75">
        <f t="shared" ref="C2:C7" si="0">B2+D2</f>
        <v>0</v>
      </c>
      <c r="D2" s="75" cm="1">
        <f t="array" ref="D2">SUMPRODUCT((TRIM('DATA INPUT'!$H$3:$H$8999)=$A2)*'DATA INPUT'!$U$3:$U$8999)</f>
        <v>-2.5</v>
      </c>
      <c r="E2" s="76">
        <f t="shared" ref="E2:E7" si="1">IFERROR(D2/B2,0)</f>
        <v>-1</v>
      </c>
      <c r="F2" s="53" t="s">
        <v>87</v>
      </c>
      <c r="G2" s="58" cm="1">
        <f t="array" ref="G2">SUMPRODUCT((TRIM('DATA INPUT'!$H$3:$H$8999)=$A2)*('DATA INPUT'!$M$3:$M$8999&gt;=1)*('DATA INPUT'!$M$3:$M$8999&lt;2)*'DATA INPUT'!$U$3:$U$8999)</f>
        <v>0</v>
      </c>
      <c r="H2" s="58" cm="1">
        <f t="array" ref="H2">SUMPRODUCT((TRIM('DATA INPUT'!$H$3:$H$8999)=$A2)*('DATA INPUT'!$M$3:$M$8999&gt;=2)*('DATA INPUT'!$M$3:$M$8999&lt;3)*'DATA INPUT'!$U$3:$U$8999)</f>
        <v>0</v>
      </c>
      <c r="I2" s="58" cm="1">
        <f t="array" ref="I2">SUMPRODUCT((TRIM('DATA INPUT'!$H$3:$H$8999)=$A2)*('DATA INPUT'!$M$3:$M$8999&gt;=3)*('DATA INPUT'!$M$3:$M$8999&lt;4)*'DATA INPUT'!$U$3:$U$8999)</f>
        <v>0</v>
      </c>
      <c r="J2" s="58" cm="1">
        <f t="array" ref="J2">SUMPRODUCT((TRIM('DATA INPUT'!$H$3:$H$8999)=$A2)*('DATA INPUT'!$M$3:$M$8999&gt;=4)*('DATA INPUT'!$M$3:$M$8999&lt;5)*'DATA INPUT'!$U$3:$U$8999)</f>
        <v>0</v>
      </c>
      <c r="K2" s="58" cm="1">
        <f t="array" ref="K2">SUMPRODUCT((TRIM('DATA INPUT'!$H$3:$H$8999)=$A2)*('DATA INPUT'!$M$3:$M$8999&gt;=5)*('DATA INPUT'!$M$3:$M$8999&lt;6)*'DATA INPUT'!$U$3:$U$8999)</f>
        <v>0</v>
      </c>
      <c r="L2" s="58" cm="1">
        <f t="array" ref="L2">SUMPRODUCT((TRIM('DATA INPUT'!$H$3:$H$8999)=$A2)*('DATA INPUT'!$M$3:$M$8999&gt;=6)*('DATA INPUT'!$M$3:$M$8999&lt;7)*'DATA INPUT'!$U$3:$U$8999)</f>
        <v>0</v>
      </c>
      <c r="M2" s="58" cm="1">
        <f t="array" ref="M2">SUMPRODUCT((TRIM('DATA INPUT'!$H$3:$H$8999)=$A2)*('DATA INPUT'!$M$3:$M$8999&gt;=7)*('DATA INPUT'!$M$3:$M$8999&lt;8)*'DATA INPUT'!$U$3:$U$8999)</f>
        <v>0</v>
      </c>
      <c r="N2" s="58" cm="1">
        <f t="array" ref="N2">SUMPRODUCT((TRIM('DATA INPUT'!$H$3:$H$8999)=$A2)*('DATA INPUT'!$M$3:$M$8999&gt;=8)*('DATA INPUT'!$M$3:$M$8999&lt;9)*'DATA INPUT'!$U$3:$U$8999)</f>
        <v>0</v>
      </c>
      <c r="O2" s="58" cm="1">
        <f t="array" ref="O2">SUMPRODUCT((TRIM('DATA INPUT'!$H$3:$H$8999)=$A2)*('DATA INPUT'!$M$3:$M$8999&gt;=9)*('DATA INPUT'!$M$3:$M$8999&lt;10)*'DATA INPUT'!$U$3:$U$8999)</f>
        <v>-0.5</v>
      </c>
      <c r="P2" s="58" cm="1">
        <f t="array" ref="P2">SUMPRODUCT((TRIM('DATA INPUT'!$H$3:$H$8999)=$A2)*('DATA INPUT'!$M$3:$M$8999&gt;=10)*('DATA INPUT'!$M$3:$M$8999&lt;20)*'DATA INPUT'!$U$3:$U$8999)</f>
        <v>-1.5</v>
      </c>
      <c r="Q2" s="58" cm="1">
        <f t="array" ref="Q2">SUMPRODUCT((TRIM('DATA INPUT'!$H$3:$H$8999)=$A2)*('DATA INPUT'!$M$3:$M$8999&gt;=20)*('DATA INPUT'!$M$3:$M$8999&lt;30)*'DATA INPUT'!$U$3:$U$8999)</f>
        <v>-0.5</v>
      </c>
      <c r="R2" s="58" cm="1">
        <f t="array" ref="R2">SUMPRODUCT((TRIM('DATA INPUT'!$H$3:$H$8999)=$A2)*('DATA INPUT'!$M$3:$M$8999&gt;=30)*('DATA INPUT'!$M$3:$M$8999&lt;40)*'DATA INPUT'!$U$3:$U$8999)</f>
        <v>0</v>
      </c>
      <c r="S2" s="58" cm="1">
        <f t="array" ref="S2">SUMPRODUCT((TRIM('DATA INPUT'!$H$3:$H$8999)=$A2)*('DATA INPUT'!$M$3:$M$8999&gt;=40)*('DATA INPUT'!$M$3:$M$8999&lt;50)*'DATA INPUT'!$U$3:$U$8999)</f>
        <v>0</v>
      </c>
      <c r="T2" s="58" cm="1">
        <f t="array" ref="T2">SUMPRODUCT((TRIM('DATA INPUT'!$H$3:$H$8999)=$A2)*('DATA INPUT'!$M$3:$M$8999&gt;=50)*'DATA INPUT'!$U$3:$U$8999)</f>
        <v>0</v>
      </c>
      <c r="U2" s="53" t="s">
        <v>87</v>
      </c>
      <c r="V2" s="60" cm="1">
        <f t="array" ref="V2">IFERROR(SUMPRODUCT((TRIM('DATA INPUT'!$H$3:$H$8999)=$A2)*('DATA INPUT'!$M$3:$M$8999&gt;=1)*('DATA INPUT'!$M$3:$M$8999&lt;2)*'DATA INPUT'!$U$3:$U$8999)/SUMPRODUCT((TRIM('DATA INPUT'!$H$3:$H$8999)=$A2)*('DATA INPUT'!$M$3:$M$8999&gt;=1)*('DATA INPUT'!$M$3:$M$8999&lt;2)*'DATA INPUT'!$L$3:$L$8999),0)</f>
        <v>0</v>
      </c>
      <c r="W2" s="60" cm="1">
        <f t="array" ref="W2">IFERROR(SUMPRODUCT((TRIM('DATA INPUT'!$H$3:$H$8999)=$A2)*('DATA INPUT'!$M$3:$M$8999&gt;=2)*('DATA INPUT'!$M$3:$M$8999&lt;3)*'DATA INPUT'!$U$3:$U$8999)/SUMPRODUCT((TRIM('DATA INPUT'!$H$3:$H$8999)=$A2)*('DATA INPUT'!$M$3:$M$8999&gt;=2)*('DATA INPUT'!$M$3:$M$8999&lt;3)*'DATA INPUT'!$L$3:$L$8999),0)</f>
        <v>0</v>
      </c>
      <c r="X2" s="60" cm="1">
        <f t="array" ref="X2">IFERROR(SUMPRODUCT((TRIM('DATA INPUT'!$H$3:$H$8999)=$A2)*('DATA INPUT'!$M$3:$M$8999&gt;=3)*('DATA INPUT'!$M$3:$M$8999&lt;4)*'DATA INPUT'!$U$3:$U$8999)/SUMPRODUCT((TRIM('DATA INPUT'!$H$3:$H$8999)=$A2)*('DATA INPUT'!$M$3:$M$8999&gt;=3)*('DATA INPUT'!$M$3:$M$8999&lt;4)*'DATA INPUT'!$L$3:$L$8999),0)</f>
        <v>0</v>
      </c>
      <c r="Y2" s="60" cm="1">
        <f t="array" ref="Y2">IFERROR(SUMPRODUCT((TRIM('DATA INPUT'!$H$3:$H$8999)=$A2)*('DATA INPUT'!$M$3:$M$8999&gt;=4)*('DATA INPUT'!$M$3:$M$8999&lt;5)*'DATA INPUT'!$U$3:$U$8999)/SUMPRODUCT((TRIM('DATA INPUT'!$H$3:$H$8999)=$A2)*('DATA INPUT'!$M$3:$M$8999&gt;=4)*('DATA INPUT'!$M$3:$M$8999&lt;5)*'DATA INPUT'!$L$3:$L$8999),0)</f>
        <v>0</v>
      </c>
      <c r="Z2" s="60" cm="1">
        <f t="array" ref="Z2">IFERROR(SUMPRODUCT((TRIM('DATA INPUT'!$H$3:$H$8999)=$A2)*('DATA INPUT'!$M$3:$M$8999&gt;=5)*('DATA INPUT'!$M$3:$M$8999&lt;6)*'DATA INPUT'!$U$3:$U$8999)/SUMPRODUCT((TRIM('DATA INPUT'!$H$3:$H$8999)=$A2)*('DATA INPUT'!$M$3:$M$8999&gt;=5)*('DATA INPUT'!$M$3:$M$8999&lt;6)*'DATA INPUT'!$L$3:$L$8999),0)</f>
        <v>0</v>
      </c>
      <c r="AA2" s="60" cm="1">
        <f t="array" ref="AA2">IFERROR(SUMPRODUCT((TRIM('DATA INPUT'!$H$3:$H$8999)=$A2)*('DATA INPUT'!$M$3:$M$8999&gt;=6)*('DATA INPUT'!$M$3:$M$8999&lt;7)*'DATA INPUT'!$U$3:$U$8999)/SUMPRODUCT((TRIM('DATA INPUT'!$H$3:$H$8999)=$A2)*('DATA INPUT'!$M$3:$M$8999&gt;=6)*('DATA INPUT'!$M$3:$M$8999&lt;7)*'DATA INPUT'!$L$3:$L$8999),0)</f>
        <v>0</v>
      </c>
      <c r="AB2" s="60" cm="1">
        <f t="array" ref="AB2">IFERROR(SUMPRODUCT((TRIM('DATA INPUT'!$H$3:$H$8999)=$A2)*('DATA INPUT'!$M$3:$M$8999&gt;=7)*('DATA INPUT'!$M$3:$M$8999&lt;8)*'DATA INPUT'!$U$3:$U$8999)/SUMPRODUCT((TRIM('DATA INPUT'!$H$3:$H$8999)=$A2)*('DATA INPUT'!$M$3:$M$8999&gt;=7)*('DATA INPUT'!$M$3:$M$8999&lt;8)*'DATA INPUT'!$L$3:$L$8999),0)</f>
        <v>0</v>
      </c>
      <c r="AC2" s="60" cm="1">
        <f t="array" ref="AC2">IFERROR(SUMPRODUCT((TRIM('DATA INPUT'!$H$3:$H$8999)=$A2)*('DATA INPUT'!$M$3:$M$8999&gt;=8)*('DATA INPUT'!$M$3:$M$8999&lt;9)*'DATA INPUT'!$U$3:$U$8999)/SUMPRODUCT((TRIM('DATA INPUT'!$H$3:$H$8999)=$A2)*('DATA INPUT'!$M$3:$M$8999&gt;=8)*('DATA INPUT'!$M$3:$M$8999&lt;9)*'DATA INPUT'!$L$3:$L$8999),0)</f>
        <v>0</v>
      </c>
      <c r="AD2" s="60" cm="1">
        <f t="array" ref="AD2">IFERROR(SUMPRODUCT((TRIM('DATA INPUT'!$H$3:$H$8999)=$A2)*('DATA INPUT'!$M$3:$M$8999&gt;=9)*('DATA INPUT'!$M$3:$M$8999&lt;10)*'DATA INPUT'!$U$3:$U$8999)/SUMPRODUCT((TRIM('DATA INPUT'!$H$3:$H$8999)=$A2)*('DATA INPUT'!$M$3:$M$8999&gt;=9)*('DATA INPUT'!$M$3:$M$8999&lt;10)*'DATA INPUT'!$L$3:$L$8999),0)</f>
        <v>-1</v>
      </c>
      <c r="AE2" s="60" cm="1">
        <f t="array" ref="AE2">IFERROR(SUMPRODUCT((TRIM('DATA INPUT'!$H$3:$H$8999)=$A2)*('DATA INPUT'!$M$3:$M$8999&gt;=10)*('DATA INPUT'!$M$3:$M$8999&lt;20)*'DATA INPUT'!$U$3:$U$8999)/SUMPRODUCT((TRIM('DATA INPUT'!$H$3:$H$8999)=$A2)*('DATA INPUT'!$M$3:$M$8999&gt;=10)*('DATA INPUT'!$M$3:$M$8999&lt;20)*'DATA INPUT'!$L$3:$L$8999),0)</f>
        <v>-1</v>
      </c>
      <c r="AF2" s="60" cm="1">
        <f t="array" ref="AF2">IFERROR(SUMPRODUCT((TRIM('DATA INPUT'!$H$3:$H$8999)=$A2)*('DATA INPUT'!$M$3:$M$8999&gt;=20)*('DATA INPUT'!$M$3:$M$8999&lt;30)*'DATA INPUT'!$U$3:$U$8999)/SUMPRODUCT((TRIM('DATA INPUT'!$H$3:$H$8999)=$A2)*('DATA INPUT'!$M$3:$M$8999&gt;=20)*('DATA INPUT'!$M$3:$M$8999&lt;30)*'DATA INPUT'!$L$3:$L$8999),0)</f>
        <v>-1</v>
      </c>
      <c r="AG2" s="60" cm="1">
        <f t="array" ref="AG2">IFERROR(SUMPRODUCT((TRIM('DATA INPUT'!$H$3:$H$8999)=$A2)*('DATA INPUT'!$M$3:$M$8999&gt;=30)*('DATA INPUT'!$M$3:$M$8999&lt;40)*'DATA INPUT'!$U$3:$U$8999)/SUMPRODUCT((TRIM('DATA INPUT'!$H$3:$H$8999)=$A2)*('DATA INPUT'!$M$3:$M$8999&gt;=30)*('DATA INPUT'!$M$3:$M$8999&lt;40)*'DATA INPUT'!$L$3:$L$8999),0)</f>
        <v>0</v>
      </c>
      <c r="AH2" s="60" cm="1">
        <f t="array" ref="AH2">IFERROR(SUMPRODUCT((TRIM('DATA INPUT'!$H$3:$H$8999)=$A2)*('DATA INPUT'!$M$3:$M$8999&gt;=40)*('DATA INPUT'!$M$3:$M$8999&lt;50)*'DATA INPUT'!$U$3:$U$8999)/SUMPRODUCT((TRIM('DATA INPUT'!$H$3:$H$8999)=$A2)*('DATA INPUT'!$M$3:$M$8999&gt;=40)*('DATA INPUT'!$M$3:$M$8999&lt;50)*'DATA INPUT'!$L$3:$L$8999),0)</f>
        <v>0</v>
      </c>
      <c r="AI2" s="60" cm="1">
        <f t="array" ref="AI2">IFERROR(SUMPRODUCT((TRIM('DATA INPUT'!$H$3:$H$8999)=$A2)*('DATA INPUT'!$M$3:$M$8999&gt;=50)*'DATA INPUT'!$U$3:$U$8999)/SUMPRODUCT((TRIM('DATA INPUT'!$H$3:$H$8999)=$A2)*('DATA INPUT'!$M$3:$M$8999&gt;=50)*'DATA INPUT'!$L$3:$L$8999),0)</f>
        <v>0</v>
      </c>
    </row>
    <row r="3" spans="1:35" x14ac:dyDescent="0.2">
      <c r="A3" s="54" t="s">
        <v>138</v>
      </c>
      <c r="B3" s="75" cm="1">
        <f t="array" ref="B3">SUMPRODUCT((TRIM('DATA INPUT'!$H$3:$H$8999)=$A3)*'DATA INPUT'!$L$3:$L$8999)</f>
        <v>35.5</v>
      </c>
      <c r="C3" s="75">
        <f t="shared" si="0"/>
        <v>49.977199999999996</v>
      </c>
      <c r="D3" s="75" cm="1">
        <f t="array" ref="D3">SUMPRODUCT((TRIM('DATA INPUT'!$H$3:$H$8999)=$A3)*'DATA INPUT'!$U$3:$U$8999)</f>
        <v>14.4772</v>
      </c>
      <c r="E3" s="78">
        <f t="shared" si="1"/>
        <v>0.40780845070422533</v>
      </c>
      <c r="F3" s="53" t="s">
        <v>87</v>
      </c>
      <c r="G3" s="58" cm="1">
        <f t="array" ref="G3">SUMPRODUCT((TRIM('DATA INPUT'!$H$3:$H$8999)=$A3)*('DATA INPUT'!$M$3:$M$8999&gt;=1)*('DATA INPUT'!$M$3:$M$8999&lt;2)*'DATA INPUT'!$U$3:$U$8999)</f>
        <v>0</v>
      </c>
      <c r="H3" s="58" cm="1">
        <f t="array" ref="H3">SUMPRODUCT((TRIM('DATA INPUT'!$H$3:$H$8999)=$A3)*('DATA INPUT'!$M$3:$M$8999&gt;=2)*('DATA INPUT'!$M$3:$M$8999&lt;3)*'DATA INPUT'!$U$3:$U$8999)</f>
        <v>0</v>
      </c>
      <c r="I3" s="58" cm="1">
        <f t="array" ref="I3">SUMPRODUCT((TRIM('DATA INPUT'!$H$3:$H$8999)=$A3)*('DATA INPUT'!$M$3:$M$8999&gt;=3)*('DATA INPUT'!$M$3:$M$8999&lt;4)*'DATA INPUT'!$U$3:$U$8999)</f>
        <v>0</v>
      </c>
      <c r="J3" s="58" cm="1">
        <f t="array" ref="J3">SUMPRODUCT((TRIM('DATA INPUT'!$H$3:$H$8999)=$A3)*('DATA INPUT'!$M$3:$M$8999&gt;=4)*('DATA INPUT'!$M$3:$M$8999&lt;5)*'DATA INPUT'!$U$3:$U$8999)</f>
        <v>0</v>
      </c>
      <c r="K3" s="58" cm="1">
        <f t="array" ref="K3">SUMPRODUCT((TRIM('DATA INPUT'!$H$3:$H$8999)=$A3)*('DATA INPUT'!$M$3:$M$8999&gt;=5)*('DATA INPUT'!$M$3:$M$8999&lt;6)*'DATA INPUT'!$U$3:$U$8999)</f>
        <v>0</v>
      </c>
      <c r="L3" s="58" cm="1">
        <f t="array" ref="L3">SUMPRODUCT((TRIM('DATA INPUT'!$H$3:$H$8999)=$A3)*('DATA INPUT'!$M$3:$M$8999&gt;=6)*('DATA INPUT'!$M$3:$M$8999&lt;7)*'DATA INPUT'!$U$3:$U$8999)</f>
        <v>2.4412000000000003</v>
      </c>
      <c r="M3" s="58" cm="1">
        <f t="array" ref="M3">SUMPRODUCT((TRIM('DATA INPUT'!$H$3:$H$8999)=$A3)*('DATA INPUT'!$M$3:$M$8999&gt;=7)*('DATA INPUT'!$M$3:$M$8999&lt;8)*'DATA INPUT'!$U$3:$U$8999)</f>
        <v>2.8279999999999998</v>
      </c>
      <c r="N3" s="58" cm="1">
        <f t="array" ref="N3">SUMPRODUCT((TRIM('DATA INPUT'!$H$3:$H$8999)=$A3)*('DATA INPUT'!$M$3:$M$8999&gt;=8)*('DATA INPUT'!$M$3:$M$8999&lt;9)*'DATA INPUT'!$U$3:$U$8999)</f>
        <v>-2</v>
      </c>
      <c r="O3" s="58" cm="1">
        <f t="array" ref="O3">SUMPRODUCT((TRIM('DATA INPUT'!$H$3:$H$8999)=$A3)*('DATA INPUT'!$M$3:$M$8999&gt;=9)*('DATA INPUT'!$M$3:$M$8999&lt;10)*'DATA INPUT'!$U$3:$U$8999)</f>
        <v>-1</v>
      </c>
      <c r="P3" s="58" cm="1">
        <f t="array" ref="P3">SUMPRODUCT((TRIM('DATA INPUT'!$H$3:$H$8999)=$A3)*('DATA INPUT'!$M$3:$M$8999&gt;=10)*('DATA INPUT'!$M$3:$M$8999&lt;20)*'DATA INPUT'!$U$3:$U$8999)</f>
        <v>26.208000000000002</v>
      </c>
      <c r="Q3" s="58" cm="1">
        <f t="array" ref="Q3">SUMPRODUCT((TRIM('DATA INPUT'!$H$3:$H$8999)=$A3)*('DATA INPUT'!$M$3:$M$8999&gt;=20)*('DATA INPUT'!$M$3:$M$8999&lt;30)*'DATA INPUT'!$U$3:$U$8999)</f>
        <v>-11.5</v>
      </c>
      <c r="R3" s="58" cm="1">
        <f t="array" ref="R3">SUMPRODUCT((TRIM('DATA INPUT'!$H$3:$H$8999)=$A3)*('DATA INPUT'!$M$3:$M$8999&gt;=30)*('DATA INPUT'!$M$3:$M$8999&lt;40)*'DATA INPUT'!$U$3:$U$8999)</f>
        <v>-2.5</v>
      </c>
      <c r="S3" s="58" cm="1">
        <f t="array" ref="S3">SUMPRODUCT((TRIM('DATA INPUT'!$H$3:$H$8999)=$A3)*('DATA INPUT'!$M$3:$M$8999&gt;=40)*('DATA INPUT'!$M$3:$M$8999&lt;50)*'DATA INPUT'!$U$3:$U$8999)</f>
        <v>0</v>
      </c>
      <c r="T3" s="58" cm="1">
        <f t="array" ref="T3">SUMPRODUCT((TRIM('DATA INPUT'!$H$3:$H$8999)=$A3)*('DATA INPUT'!$M$3:$M$8999&gt;=50)*'DATA INPUT'!$U$3:$U$8999)</f>
        <v>0</v>
      </c>
      <c r="U3" s="53" t="s">
        <v>87</v>
      </c>
      <c r="V3" s="60" cm="1">
        <f t="array" ref="V3">IFERROR(SUMPRODUCT((TRIM('DATA INPUT'!$H$3:$H$8999)=$A3)*('DATA INPUT'!$M$3:$M$8999&gt;=1)*('DATA INPUT'!$M$3:$M$8999&lt;2)*'DATA INPUT'!$U$3:$U$8999)/SUMPRODUCT((TRIM('DATA INPUT'!$H$3:$H$8999)=$A3)*('DATA INPUT'!$M$3:$M$8999&gt;=1)*('DATA INPUT'!$M$3:$M$8999&lt;2)*'DATA INPUT'!$L$3:$L$8999),0)</f>
        <v>0</v>
      </c>
      <c r="W3" s="60" cm="1">
        <f t="array" ref="W3">IFERROR(SUMPRODUCT((TRIM('DATA INPUT'!$H$3:$H$8999)=$A3)*('DATA INPUT'!$M$3:$M$8999&gt;=2)*('DATA INPUT'!$M$3:$M$8999&lt;3)*'DATA INPUT'!$U$3:$U$8999)/SUMPRODUCT((TRIM('DATA INPUT'!$H$3:$H$8999)=$A3)*('DATA INPUT'!$M$3:$M$8999&gt;=2)*('DATA INPUT'!$M$3:$M$8999&lt;3)*'DATA INPUT'!$L$3:$L$8999),0)</f>
        <v>0</v>
      </c>
      <c r="X3" s="60" cm="1">
        <f t="array" ref="X3">IFERROR(SUMPRODUCT((TRIM('DATA INPUT'!$H$3:$H$8999)=$A3)*('DATA INPUT'!$M$3:$M$8999&gt;=3)*('DATA INPUT'!$M$3:$M$8999&lt;4)*'DATA INPUT'!$U$3:$U$8999)/SUMPRODUCT((TRIM('DATA INPUT'!$H$3:$H$8999)=$A3)*('DATA INPUT'!$M$3:$M$8999&gt;=3)*('DATA INPUT'!$M$3:$M$8999&lt;4)*'DATA INPUT'!$L$3:$L$8999),0)</f>
        <v>0</v>
      </c>
      <c r="Y3" s="60" cm="1">
        <f t="array" ref="Y3">IFERROR(SUMPRODUCT((TRIM('DATA INPUT'!$H$3:$H$8999)=$A3)*('DATA INPUT'!$M$3:$M$8999&gt;=4)*('DATA INPUT'!$M$3:$M$8999&lt;5)*'DATA INPUT'!$U$3:$U$8999)/SUMPRODUCT((TRIM('DATA INPUT'!$H$3:$H$8999)=$A3)*('DATA INPUT'!$M$3:$M$8999&gt;=4)*('DATA INPUT'!$M$3:$M$8999&lt;5)*'DATA INPUT'!$L$3:$L$8999),0)</f>
        <v>0</v>
      </c>
      <c r="Z3" s="60" cm="1">
        <f t="array" ref="Z3">IFERROR(SUMPRODUCT((TRIM('DATA INPUT'!$H$3:$H$8999)=$A3)*('DATA INPUT'!$M$3:$M$8999&gt;=5)*('DATA INPUT'!$M$3:$M$8999&lt;6)*'DATA INPUT'!$U$3:$U$8999)/SUMPRODUCT((TRIM('DATA INPUT'!$H$3:$H$8999)=$A3)*('DATA INPUT'!$M$3:$M$8999&gt;=5)*('DATA INPUT'!$M$3:$M$8999&lt;6)*'DATA INPUT'!$L$3:$L$8999),0)</f>
        <v>0</v>
      </c>
      <c r="AA3" s="60" cm="1">
        <f t="array" ref="AA3">IFERROR(SUMPRODUCT((TRIM('DATA INPUT'!$H$3:$H$8999)=$A3)*('DATA INPUT'!$M$3:$M$8999&gt;=6)*('DATA INPUT'!$M$3:$M$8999&lt;7)*'DATA INPUT'!$U$3:$U$8999)/SUMPRODUCT((TRIM('DATA INPUT'!$H$3:$H$8999)=$A3)*('DATA INPUT'!$M$3:$M$8999&gt;=6)*('DATA INPUT'!$M$3:$M$8999&lt;7)*'DATA INPUT'!$L$3:$L$8999),0)</f>
        <v>2.4412000000000003</v>
      </c>
      <c r="AB3" s="60" cm="1">
        <f t="array" ref="AB3">IFERROR(SUMPRODUCT((TRIM('DATA INPUT'!$H$3:$H$8999)=$A3)*('DATA INPUT'!$M$3:$M$8999&gt;=7)*('DATA INPUT'!$M$3:$M$8999&lt;8)*'DATA INPUT'!$U$3:$U$8999)/SUMPRODUCT((TRIM('DATA INPUT'!$H$3:$H$8999)=$A3)*('DATA INPUT'!$M$3:$M$8999&gt;=7)*('DATA INPUT'!$M$3:$M$8999&lt;8)*'DATA INPUT'!$L$3:$L$8999),0)</f>
        <v>2.8279999999999998</v>
      </c>
      <c r="AC3" s="60" cm="1">
        <f t="array" ref="AC3">IFERROR(SUMPRODUCT((TRIM('DATA INPUT'!$H$3:$H$8999)=$A3)*('DATA INPUT'!$M$3:$M$8999&gt;=8)*('DATA INPUT'!$M$3:$M$8999&lt;9)*'DATA INPUT'!$U$3:$U$8999)/SUMPRODUCT((TRIM('DATA INPUT'!$H$3:$H$8999)=$A3)*('DATA INPUT'!$M$3:$M$8999&gt;=8)*('DATA INPUT'!$M$3:$M$8999&lt;9)*'DATA INPUT'!$L$3:$L$8999),0)</f>
        <v>-1</v>
      </c>
      <c r="AD3" s="60" cm="1">
        <f t="array" ref="AD3">IFERROR(SUMPRODUCT((TRIM('DATA INPUT'!$H$3:$H$8999)=$A3)*('DATA INPUT'!$M$3:$M$8999&gt;=9)*('DATA INPUT'!$M$3:$M$8999&lt;10)*'DATA INPUT'!$U$3:$U$8999)/SUMPRODUCT((TRIM('DATA INPUT'!$H$3:$H$8999)=$A3)*('DATA INPUT'!$M$3:$M$8999&gt;=9)*('DATA INPUT'!$M$3:$M$8999&lt;10)*'DATA INPUT'!$L$3:$L$8999),0)</f>
        <v>-1</v>
      </c>
      <c r="AE3" s="60" cm="1">
        <f t="array" ref="AE3">IFERROR(SUMPRODUCT((TRIM('DATA INPUT'!$H$3:$H$8999)=$A3)*('DATA INPUT'!$M$3:$M$8999&gt;=10)*('DATA INPUT'!$M$3:$M$8999&lt;20)*'DATA INPUT'!$U$3:$U$8999)/SUMPRODUCT((TRIM('DATA INPUT'!$H$3:$H$8999)=$A3)*('DATA INPUT'!$M$3:$M$8999&gt;=10)*('DATA INPUT'!$M$3:$M$8999&lt;20)*'DATA INPUT'!$L$3:$L$8999),0)</f>
        <v>1.5883636363636364</v>
      </c>
      <c r="AF3" s="60" cm="1">
        <f t="array" ref="AF3">IFERROR(SUMPRODUCT((TRIM('DATA INPUT'!$H$3:$H$8999)=$A3)*('DATA INPUT'!$M$3:$M$8999&gt;=20)*('DATA INPUT'!$M$3:$M$8999&lt;30)*'DATA INPUT'!$U$3:$U$8999)/SUMPRODUCT((TRIM('DATA INPUT'!$H$3:$H$8999)=$A3)*('DATA INPUT'!$M$3:$M$8999&gt;=20)*('DATA INPUT'!$M$3:$M$8999&lt;30)*'DATA INPUT'!$L$3:$L$8999),0)</f>
        <v>-1</v>
      </c>
      <c r="AG3" s="60" cm="1">
        <f t="array" ref="AG3">IFERROR(SUMPRODUCT((TRIM('DATA INPUT'!$H$3:$H$8999)=$A3)*('DATA INPUT'!$M$3:$M$8999&gt;=30)*('DATA INPUT'!$M$3:$M$8999&lt;40)*'DATA INPUT'!$U$3:$U$8999)/SUMPRODUCT((TRIM('DATA INPUT'!$H$3:$H$8999)=$A3)*('DATA INPUT'!$M$3:$M$8999&gt;=30)*('DATA INPUT'!$M$3:$M$8999&lt;40)*'DATA INPUT'!$L$3:$L$8999),0)</f>
        <v>-1</v>
      </c>
      <c r="AH3" s="60" cm="1">
        <f t="array" ref="AH3">IFERROR(SUMPRODUCT((TRIM('DATA INPUT'!$H$3:$H$8999)=$A3)*('DATA INPUT'!$M$3:$M$8999&gt;=40)*('DATA INPUT'!$M$3:$M$8999&lt;50)*'DATA INPUT'!$U$3:$U$8999)/SUMPRODUCT((TRIM('DATA INPUT'!$H$3:$H$8999)=$A3)*('DATA INPUT'!$M$3:$M$8999&gt;=40)*('DATA INPUT'!$M$3:$M$8999&lt;50)*'DATA INPUT'!$L$3:$L$8999),0)</f>
        <v>0</v>
      </c>
      <c r="AI3" s="60" cm="1">
        <f t="array" ref="AI3">IFERROR(SUMPRODUCT((TRIM('DATA INPUT'!$H$3:$H$8999)=$A3)*('DATA INPUT'!$M$3:$M$8999&gt;=50)*'DATA INPUT'!$U$3:$U$8999)/SUMPRODUCT((TRIM('DATA INPUT'!$H$3:$H$8999)=$A3)*('DATA INPUT'!$M$3:$M$8999&gt;=50)*'DATA INPUT'!$L$3:$L$8999),0)</f>
        <v>0</v>
      </c>
    </row>
    <row r="4" spans="1:35" x14ac:dyDescent="0.2">
      <c r="A4" s="54" t="s">
        <v>139</v>
      </c>
      <c r="B4" s="75" cm="1">
        <f t="array" ref="B4">SUMPRODUCT((TRIM('DATA INPUT'!$H$3:$H$8999)=$A4)*'DATA INPUT'!$L$3:$L$8999)</f>
        <v>25</v>
      </c>
      <c r="C4" s="75">
        <f t="shared" si="0"/>
        <v>44.032400000000003</v>
      </c>
      <c r="D4" s="75" cm="1">
        <f t="array" ref="D4">SUMPRODUCT((TRIM('DATA INPUT'!$H$3:$H$8999)=$A4)*'DATA INPUT'!$U$3:$U$8999)</f>
        <v>19.032400000000003</v>
      </c>
      <c r="E4" s="78">
        <f t="shared" si="1"/>
        <v>0.76129600000000008</v>
      </c>
      <c r="F4" s="53" t="s">
        <v>87</v>
      </c>
      <c r="G4" s="58" cm="1">
        <f t="array" ref="G4">SUMPRODUCT((TRIM('DATA INPUT'!$H$3:$H$8999)=$A4)*('DATA INPUT'!$M$3:$M$8999&gt;=1)*('DATA INPUT'!$M$3:$M$8999&lt;2)*'DATA INPUT'!$U$3:$U$8999)</f>
        <v>0</v>
      </c>
      <c r="H4" s="58" cm="1">
        <f t="array" ref="H4">SUMPRODUCT((TRIM('DATA INPUT'!$H$3:$H$8999)=$A4)*('DATA INPUT'!$M$3:$M$8999&gt;=2)*('DATA INPUT'!$M$3:$M$8999&lt;3)*'DATA INPUT'!$U$3:$U$8999)</f>
        <v>0</v>
      </c>
      <c r="I4" s="58" cm="1">
        <f t="array" ref="I4">SUMPRODUCT((TRIM('DATA INPUT'!$H$3:$H$8999)=$A4)*('DATA INPUT'!$M$3:$M$8999&gt;=3)*('DATA INPUT'!$M$3:$M$8999&lt;4)*'DATA INPUT'!$U$3:$U$8999)</f>
        <v>0</v>
      </c>
      <c r="J4" s="58" cm="1">
        <f t="array" ref="J4">SUMPRODUCT((TRIM('DATA INPUT'!$H$3:$H$8999)=$A4)*('DATA INPUT'!$M$3:$M$8999&gt;=4)*('DATA INPUT'!$M$3:$M$8999&lt;5)*'DATA INPUT'!$U$3:$U$8999)</f>
        <v>0</v>
      </c>
      <c r="K4" s="58" cm="1">
        <f t="array" ref="K4">SUMPRODUCT((TRIM('DATA INPUT'!$H$3:$H$8999)=$A4)*('DATA INPUT'!$M$3:$M$8999&gt;=5)*('DATA INPUT'!$M$3:$M$8999&lt;6)*'DATA INPUT'!$U$3:$U$8999)</f>
        <v>0</v>
      </c>
      <c r="L4" s="58" cm="1">
        <f t="array" ref="L4">SUMPRODUCT((TRIM('DATA INPUT'!$H$3:$H$8999)=$A4)*('DATA INPUT'!$M$3:$M$8999&gt;=6)*('DATA INPUT'!$M$3:$M$8999&lt;7)*'DATA INPUT'!$U$3:$U$8999)</f>
        <v>-2</v>
      </c>
      <c r="M4" s="58" cm="1">
        <f t="array" ref="M4">SUMPRODUCT((TRIM('DATA INPUT'!$H$3:$H$8999)=$A4)*('DATA INPUT'!$M$3:$M$8999&gt;=7)*('DATA INPUT'!$M$3:$M$8999&lt;8)*'DATA INPUT'!$U$3:$U$8999)</f>
        <v>-1</v>
      </c>
      <c r="N4" s="58" cm="1">
        <f t="array" ref="N4">SUMPRODUCT((TRIM('DATA INPUT'!$H$3:$H$8999)=$A4)*('DATA INPUT'!$M$3:$M$8999&gt;=8)*('DATA INPUT'!$M$3:$M$8999&lt;9)*'DATA INPUT'!$U$3:$U$8999)</f>
        <v>-0.5</v>
      </c>
      <c r="O4" s="58" cm="1">
        <f t="array" ref="O4">SUMPRODUCT((TRIM('DATA INPUT'!$H$3:$H$8999)=$A4)*('DATA INPUT'!$M$3:$M$8999&gt;=9)*('DATA INPUT'!$M$3:$M$8999&lt;10)*'DATA INPUT'!$U$3:$U$8999)</f>
        <v>0</v>
      </c>
      <c r="P4" s="58" cm="1">
        <f t="array" ref="P4">SUMPRODUCT((TRIM('DATA INPUT'!$H$3:$H$8999)=$A4)*('DATA INPUT'!$M$3:$M$8999&gt;=10)*('DATA INPUT'!$M$3:$M$8999&lt;20)*'DATA INPUT'!$U$3:$U$8999)</f>
        <v>14.788399999999999</v>
      </c>
      <c r="Q4" s="58" cm="1">
        <f t="array" ref="Q4">SUMPRODUCT((TRIM('DATA INPUT'!$H$3:$H$8999)=$A4)*('DATA INPUT'!$M$3:$M$8999&gt;=20)*('DATA INPUT'!$M$3:$M$8999&lt;30)*'DATA INPUT'!$U$3:$U$8999)</f>
        <v>9.7439999999999998</v>
      </c>
      <c r="R4" s="58" cm="1">
        <f t="array" ref="R4">SUMPRODUCT((TRIM('DATA INPUT'!$H$3:$H$8999)=$A4)*('DATA INPUT'!$M$3:$M$8999&gt;=30)*('DATA INPUT'!$M$3:$M$8999&lt;40)*'DATA INPUT'!$U$3:$U$8999)</f>
        <v>-2</v>
      </c>
      <c r="S4" s="58" cm="1">
        <f t="array" ref="S4">SUMPRODUCT((TRIM('DATA INPUT'!$H$3:$H$8999)=$A4)*('DATA INPUT'!$M$3:$M$8999&gt;=40)*('DATA INPUT'!$M$3:$M$8999&lt;50)*'DATA INPUT'!$U$3:$U$8999)</f>
        <v>0</v>
      </c>
      <c r="T4" s="58" cm="1">
        <f t="array" ref="T4">SUMPRODUCT((TRIM('DATA INPUT'!$H$3:$H$8999)=$A4)*('DATA INPUT'!$M$3:$M$8999&gt;=50)*'DATA INPUT'!$U$3:$U$8999)</f>
        <v>0</v>
      </c>
      <c r="U4" s="53" t="s">
        <v>87</v>
      </c>
      <c r="V4" s="60" cm="1">
        <f t="array" ref="V4">IFERROR(SUMPRODUCT((TRIM('DATA INPUT'!$H$3:$H$8999)=$A4)*('DATA INPUT'!$M$3:$M$8999&gt;=1)*('DATA INPUT'!$M$3:$M$8999&lt;2)*'DATA INPUT'!$U$3:$U$8999)/SUMPRODUCT((TRIM('DATA INPUT'!$H$3:$H$8999)=$A4)*('DATA INPUT'!$M$3:$M$8999&gt;=1)*('DATA INPUT'!$M$3:$M$8999&lt;2)*'DATA INPUT'!$L$3:$L$8999),0)</f>
        <v>0</v>
      </c>
      <c r="W4" s="60" cm="1">
        <f t="array" ref="W4">IFERROR(SUMPRODUCT((TRIM('DATA INPUT'!$H$3:$H$8999)=$A4)*('DATA INPUT'!$M$3:$M$8999&gt;=2)*('DATA INPUT'!$M$3:$M$8999&lt;3)*'DATA INPUT'!$U$3:$U$8999)/SUMPRODUCT((TRIM('DATA INPUT'!$H$3:$H$8999)=$A4)*('DATA INPUT'!$M$3:$M$8999&gt;=2)*('DATA INPUT'!$M$3:$M$8999&lt;3)*'DATA INPUT'!$L$3:$L$8999),0)</f>
        <v>0</v>
      </c>
      <c r="X4" s="60" cm="1">
        <f t="array" ref="X4">IFERROR(SUMPRODUCT((TRIM('DATA INPUT'!$H$3:$H$8999)=$A4)*('DATA INPUT'!$M$3:$M$8999&gt;=3)*('DATA INPUT'!$M$3:$M$8999&lt;4)*'DATA INPUT'!$U$3:$U$8999)/SUMPRODUCT((TRIM('DATA INPUT'!$H$3:$H$8999)=$A4)*('DATA INPUT'!$M$3:$M$8999&gt;=3)*('DATA INPUT'!$M$3:$M$8999&lt;4)*'DATA INPUT'!$L$3:$L$8999),0)</f>
        <v>0</v>
      </c>
      <c r="Y4" s="60" cm="1">
        <f t="array" ref="Y4">IFERROR(SUMPRODUCT((TRIM('DATA INPUT'!$H$3:$H$8999)=$A4)*('DATA INPUT'!$M$3:$M$8999&gt;=4)*('DATA INPUT'!$M$3:$M$8999&lt;5)*'DATA INPUT'!$U$3:$U$8999)/SUMPRODUCT((TRIM('DATA INPUT'!$H$3:$H$8999)=$A4)*('DATA INPUT'!$M$3:$M$8999&gt;=4)*('DATA INPUT'!$M$3:$M$8999&lt;5)*'DATA INPUT'!$L$3:$L$8999),0)</f>
        <v>0</v>
      </c>
      <c r="Z4" s="60" cm="1">
        <f t="array" ref="Z4">IFERROR(SUMPRODUCT((TRIM('DATA INPUT'!$H$3:$H$8999)=$A4)*('DATA INPUT'!$M$3:$M$8999&gt;=5)*('DATA INPUT'!$M$3:$M$8999&lt;6)*'DATA INPUT'!$U$3:$U$8999)/SUMPRODUCT((TRIM('DATA INPUT'!$H$3:$H$8999)=$A4)*('DATA INPUT'!$M$3:$M$8999&gt;=5)*('DATA INPUT'!$M$3:$M$8999&lt;6)*'DATA INPUT'!$L$3:$L$8999),0)</f>
        <v>0</v>
      </c>
      <c r="AA4" s="60" cm="1">
        <f t="array" ref="AA4">IFERROR(SUMPRODUCT((TRIM('DATA INPUT'!$H$3:$H$8999)=$A4)*('DATA INPUT'!$M$3:$M$8999&gt;=6)*('DATA INPUT'!$M$3:$M$8999&lt;7)*'DATA INPUT'!$U$3:$U$8999)/SUMPRODUCT((TRIM('DATA INPUT'!$H$3:$H$8999)=$A4)*('DATA INPUT'!$M$3:$M$8999&gt;=6)*('DATA INPUT'!$M$3:$M$8999&lt;7)*'DATA INPUT'!$L$3:$L$8999),0)</f>
        <v>-1</v>
      </c>
      <c r="AB4" s="60" cm="1">
        <f t="array" ref="AB4">IFERROR(SUMPRODUCT((TRIM('DATA INPUT'!$H$3:$H$8999)=$A4)*('DATA INPUT'!$M$3:$M$8999&gt;=7)*('DATA INPUT'!$M$3:$M$8999&lt;8)*'DATA INPUT'!$U$3:$U$8999)/SUMPRODUCT((TRIM('DATA INPUT'!$H$3:$H$8999)=$A4)*('DATA INPUT'!$M$3:$M$8999&gt;=7)*('DATA INPUT'!$M$3:$M$8999&lt;8)*'DATA INPUT'!$L$3:$L$8999),0)</f>
        <v>-1</v>
      </c>
      <c r="AC4" s="60" cm="1">
        <f t="array" ref="AC4">IFERROR(SUMPRODUCT((TRIM('DATA INPUT'!$H$3:$H$8999)=$A4)*('DATA INPUT'!$M$3:$M$8999&gt;=8)*('DATA INPUT'!$M$3:$M$8999&lt;9)*'DATA INPUT'!$U$3:$U$8999)/SUMPRODUCT((TRIM('DATA INPUT'!$H$3:$H$8999)=$A4)*('DATA INPUT'!$M$3:$M$8999&gt;=8)*('DATA INPUT'!$M$3:$M$8999&lt;9)*'DATA INPUT'!$L$3:$L$8999),0)</f>
        <v>-1</v>
      </c>
      <c r="AD4" s="60" cm="1">
        <f t="array" ref="AD4">IFERROR(SUMPRODUCT((TRIM('DATA INPUT'!$H$3:$H$8999)=$A4)*('DATA INPUT'!$M$3:$M$8999&gt;=9)*('DATA INPUT'!$M$3:$M$8999&lt;10)*'DATA INPUT'!$U$3:$U$8999)/SUMPRODUCT((TRIM('DATA INPUT'!$H$3:$H$8999)=$A4)*('DATA INPUT'!$M$3:$M$8999&gt;=9)*('DATA INPUT'!$M$3:$M$8999&lt;10)*'DATA INPUT'!$L$3:$L$8999),0)</f>
        <v>0</v>
      </c>
      <c r="AE4" s="60" cm="1">
        <f t="array" ref="AE4">IFERROR(SUMPRODUCT((TRIM('DATA INPUT'!$H$3:$H$8999)=$A4)*('DATA INPUT'!$M$3:$M$8999&gt;=10)*('DATA INPUT'!$M$3:$M$8999&lt;20)*'DATA INPUT'!$U$3:$U$8999)/SUMPRODUCT((TRIM('DATA INPUT'!$H$3:$H$8999)=$A4)*('DATA INPUT'!$M$3:$M$8999&gt;=10)*('DATA INPUT'!$M$3:$M$8999&lt;20)*'DATA INPUT'!$L$3:$L$8999),0)</f>
        <v>1.2323666666666666</v>
      </c>
      <c r="AF4" s="60" cm="1">
        <f t="array" ref="AF4">IFERROR(SUMPRODUCT((TRIM('DATA INPUT'!$H$3:$H$8999)=$A4)*('DATA INPUT'!$M$3:$M$8999&gt;=20)*('DATA INPUT'!$M$3:$M$8999&lt;30)*'DATA INPUT'!$U$3:$U$8999)/SUMPRODUCT((TRIM('DATA INPUT'!$H$3:$H$8999)=$A4)*('DATA INPUT'!$M$3:$M$8999&gt;=20)*('DATA INPUT'!$M$3:$M$8999&lt;30)*'DATA INPUT'!$L$3:$L$8999),0)</f>
        <v>1.2991999999999999</v>
      </c>
      <c r="AG4" s="60" cm="1">
        <f t="array" ref="AG4">IFERROR(SUMPRODUCT((TRIM('DATA INPUT'!$H$3:$H$8999)=$A4)*('DATA INPUT'!$M$3:$M$8999&gt;=30)*('DATA INPUT'!$M$3:$M$8999&lt;40)*'DATA INPUT'!$U$3:$U$8999)/SUMPRODUCT((TRIM('DATA INPUT'!$H$3:$H$8999)=$A4)*('DATA INPUT'!$M$3:$M$8999&gt;=30)*('DATA INPUT'!$M$3:$M$8999&lt;40)*'DATA INPUT'!$L$3:$L$8999),0)</f>
        <v>-1</v>
      </c>
      <c r="AH4" s="60" cm="1">
        <f t="array" ref="AH4">IFERROR(SUMPRODUCT((TRIM('DATA INPUT'!$H$3:$H$8999)=$A4)*('DATA INPUT'!$M$3:$M$8999&gt;=40)*('DATA INPUT'!$M$3:$M$8999&lt;50)*'DATA INPUT'!$U$3:$U$8999)/SUMPRODUCT((TRIM('DATA INPUT'!$H$3:$H$8999)=$A4)*('DATA INPUT'!$M$3:$M$8999&gt;=40)*('DATA INPUT'!$M$3:$M$8999&lt;50)*'DATA INPUT'!$L$3:$L$8999),0)</f>
        <v>0</v>
      </c>
      <c r="AI4" s="60" cm="1">
        <f t="array" ref="AI4">IFERROR(SUMPRODUCT((TRIM('DATA INPUT'!$H$3:$H$8999)=$A4)*('DATA INPUT'!$M$3:$M$8999&gt;=50)*'DATA INPUT'!$U$3:$U$8999)/SUMPRODUCT((TRIM('DATA INPUT'!$H$3:$H$8999)=$A4)*('DATA INPUT'!$M$3:$M$8999&gt;=50)*'DATA INPUT'!$L$3:$L$8999),0)</f>
        <v>0</v>
      </c>
    </row>
    <row r="5" spans="1:35" x14ac:dyDescent="0.2">
      <c r="A5" s="54" t="s">
        <v>135</v>
      </c>
      <c r="B5" s="75" cm="1">
        <f t="array" ref="B5">SUMPRODUCT((TRIM('DATA INPUT'!$H$3:$H$8999)=$A5)*'DATA INPUT'!$L$3:$L$8999)</f>
        <v>13.5</v>
      </c>
      <c r="C5" s="75">
        <f t="shared" si="0"/>
        <v>0</v>
      </c>
      <c r="D5" s="75" cm="1">
        <f t="array" ref="D5">SUMPRODUCT((TRIM('DATA INPUT'!$H$3:$H$8999)=$A5)*'DATA INPUT'!$U$3:$U$8999)</f>
        <v>-13.5</v>
      </c>
      <c r="E5" s="76">
        <f t="shared" si="1"/>
        <v>-1</v>
      </c>
      <c r="F5" s="53" t="s">
        <v>87</v>
      </c>
      <c r="G5" s="58" cm="1">
        <f t="array" ref="G5">SUMPRODUCT((TRIM('DATA INPUT'!$H$3:$H$8999)=$A5)*('DATA INPUT'!$M$3:$M$8999&gt;=1)*('DATA INPUT'!$M$3:$M$8999&lt;2)*'DATA INPUT'!$U$3:$U$8999)</f>
        <v>0</v>
      </c>
      <c r="H5" s="58" cm="1">
        <f t="array" ref="H5">SUMPRODUCT((TRIM('DATA INPUT'!$H$3:$H$8999)=$A5)*('DATA INPUT'!$M$3:$M$8999&gt;=2)*('DATA INPUT'!$M$3:$M$8999&lt;3)*'DATA INPUT'!$U$3:$U$8999)</f>
        <v>0</v>
      </c>
      <c r="I5" s="58" cm="1">
        <f t="array" ref="I5">SUMPRODUCT((TRIM('DATA INPUT'!$H$3:$H$8999)=$A5)*('DATA INPUT'!$M$3:$M$8999&gt;=3)*('DATA INPUT'!$M$3:$M$8999&lt;4)*'DATA INPUT'!$U$3:$U$8999)</f>
        <v>0</v>
      </c>
      <c r="J5" s="58" cm="1">
        <f t="array" ref="J5">SUMPRODUCT((TRIM('DATA INPUT'!$H$3:$H$8999)=$A5)*('DATA INPUT'!$M$3:$M$8999&gt;=4)*('DATA INPUT'!$M$3:$M$8999&lt;5)*'DATA INPUT'!$U$3:$U$8999)</f>
        <v>0</v>
      </c>
      <c r="K5" s="58" cm="1">
        <f t="array" ref="K5">SUMPRODUCT((TRIM('DATA INPUT'!$H$3:$H$8999)=$A5)*('DATA INPUT'!$M$3:$M$8999&gt;=5)*('DATA INPUT'!$M$3:$M$8999&lt;6)*'DATA INPUT'!$U$3:$U$8999)</f>
        <v>0</v>
      </c>
      <c r="L5" s="58" cm="1">
        <f t="array" ref="L5">SUMPRODUCT((TRIM('DATA INPUT'!$H$3:$H$8999)=$A5)*('DATA INPUT'!$M$3:$M$8999&gt;=6)*('DATA INPUT'!$M$3:$M$8999&lt;7)*'DATA INPUT'!$U$3:$U$8999)</f>
        <v>-0.5</v>
      </c>
      <c r="M5" s="58" cm="1">
        <f t="array" ref="M5">SUMPRODUCT((TRIM('DATA INPUT'!$H$3:$H$8999)=$A5)*('DATA INPUT'!$M$3:$M$8999&gt;=7)*('DATA INPUT'!$M$3:$M$8999&lt;8)*'DATA INPUT'!$U$3:$U$8999)</f>
        <v>0</v>
      </c>
      <c r="N5" s="58" cm="1">
        <f t="array" ref="N5">SUMPRODUCT((TRIM('DATA INPUT'!$H$3:$H$8999)=$A5)*('DATA INPUT'!$M$3:$M$8999&gt;=8)*('DATA INPUT'!$M$3:$M$8999&lt;9)*'DATA INPUT'!$U$3:$U$8999)</f>
        <v>0</v>
      </c>
      <c r="O5" s="58" cm="1">
        <f t="array" ref="O5">SUMPRODUCT((TRIM('DATA INPUT'!$H$3:$H$8999)=$A5)*('DATA INPUT'!$M$3:$M$8999&gt;=9)*('DATA INPUT'!$M$3:$M$8999&lt;10)*'DATA INPUT'!$U$3:$U$8999)</f>
        <v>-2</v>
      </c>
      <c r="P5" s="58" cm="1">
        <f t="array" ref="P5">SUMPRODUCT((TRIM('DATA INPUT'!$H$3:$H$8999)=$A5)*('DATA INPUT'!$M$3:$M$8999&gt;=10)*('DATA INPUT'!$M$3:$M$8999&lt;20)*'DATA INPUT'!$U$3:$U$8999)</f>
        <v>-7.5</v>
      </c>
      <c r="Q5" s="58" cm="1">
        <f t="array" ref="Q5">SUMPRODUCT((TRIM('DATA INPUT'!$H$3:$H$8999)=$A5)*('DATA INPUT'!$M$3:$M$8999&gt;=20)*('DATA INPUT'!$M$3:$M$8999&lt;30)*'DATA INPUT'!$U$3:$U$8999)</f>
        <v>-2.5</v>
      </c>
      <c r="R5" s="58" cm="1">
        <f t="array" ref="R5">SUMPRODUCT((TRIM('DATA INPUT'!$H$3:$H$8999)=$A5)*('DATA INPUT'!$M$3:$M$8999&gt;=30)*('DATA INPUT'!$M$3:$M$8999&lt;40)*'DATA INPUT'!$U$3:$U$8999)</f>
        <v>-1</v>
      </c>
      <c r="S5" s="58" cm="1">
        <f t="array" ref="S5">SUMPRODUCT((TRIM('DATA INPUT'!$H$3:$H$8999)=$A5)*('DATA INPUT'!$M$3:$M$8999&gt;=40)*('DATA INPUT'!$M$3:$M$8999&lt;50)*'DATA INPUT'!$U$3:$U$8999)</f>
        <v>0</v>
      </c>
      <c r="T5" s="58" cm="1">
        <f t="array" ref="T5">SUMPRODUCT((TRIM('DATA INPUT'!$H$3:$H$8999)=$A5)*('DATA INPUT'!$M$3:$M$8999&gt;=50)*'DATA INPUT'!$U$3:$U$8999)</f>
        <v>0</v>
      </c>
      <c r="U5" s="53" t="s">
        <v>87</v>
      </c>
      <c r="V5" s="60" cm="1">
        <f t="array" ref="V5">IFERROR(SUMPRODUCT((TRIM('DATA INPUT'!$H$3:$H$8999)=$A5)*('DATA INPUT'!$M$3:$M$8999&gt;=1)*('DATA INPUT'!$M$3:$M$8999&lt;2)*'DATA INPUT'!$U$3:$U$8999)/SUMPRODUCT((TRIM('DATA INPUT'!$H$3:$H$8999)=$A5)*('DATA INPUT'!$M$3:$M$8999&gt;=1)*('DATA INPUT'!$M$3:$M$8999&lt;2)*'DATA INPUT'!$L$3:$L$8999),0)</f>
        <v>0</v>
      </c>
      <c r="W5" s="60" cm="1">
        <f t="array" ref="W5">IFERROR(SUMPRODUCT((TRIM('DATA INPUT'!$H$3:$H$8999)=$A5)*('DATA INPUT'!$M$3:$M$8999&gt;=2)*('DATA INPUT'!$M$3:$M$8999&lt;3)*'DATA INPUT'!$U$3:$U$8999)/SUMPRODUCT((TRIM('DATA INPUT'!$H$3:$H$8999)=$A5)*('DATA INPUT'!$M$3:$M$8999&gt;=2)*('DATA INPUT'!$M$3:$M$8999&lt;3)*'DATA INPUT'!$L$3:$L$8999),0)</f>
        <v>0</v>
      </c>
      <c r="X5" s="60" cm="1">
        <f t="array" ref="X5">IFERROR(SUMPRODUCT((TRIM('DATA INPUT'!$H$3:$H$8999)=$A5)*('DATA INPUT'!$M$3:$M$8999&gt;=3)*('DATA INPUT'!$M$3:$M$8999&lt;4)*'DATA INPUT'!$U$3:$U$8999)/SUMPRODUCT((TRIM('DATA INPUT'!$H$3:$H$8999)=$A5)*('DATA INPUT'!$M$3:$M$8999&gt;=3)*('DATA INPUT'!$M$3:$M$8999&lt;4)*'DATA INPUT'!$L$3:$L$8999),0)</f>
        <v>0</v>
      </c>
      <c r="Y5" s="60" cm="1">
        <f t="array" ref="Y5">IFERROR(SUMPRODUCT((TRIM('DATA INPUT'!$H$3:$H$8999)=$A5)*('DATA INPUT'!$M$3:$M$8999&gt;=4)*('DATA INPUT'!$M$3:$M$8999&lt;5)*'DATA INPUT'!$U$3:$U$8999)/SUMPRODUCT((TRIM('DATA INPUT'!$H$3:$H$8999)=$A5)*('DATA INPUT'!$M$3:$M$8999&gt;=4)*('DATA INPUT'!$M$3:$M$8999&lt;5)*'DATA INPUT'!$L$3:$L$8999),0)</f>
        <v>0</v>
      </c>
      <c r="Z5" s="60" cm="1">
        <f t="array" ref="Z5">IFERROR(SUMPRODUCT((TRIM('DATA INPUT'!$H$3:$H$8999)=$A5)*('DATA INPUT'!$M$3:$M$8999&gt;=5)*('DATA INPUT'!$M$3:$M$8999&lt;6)*'DATA INPUT'!$U$3:$U$8999)/SUMPRODUCT((TRIM('DATA INPUT'!$H$3:$H$8999)=$A5)*('DATA INPUT'!$M$3:$M$8999&gt;=5)*('DATA INPUT'!$M$3:$M$8999&lt;6)*'DATA INPUT'!$L$3:$L$8999),0)</f>
        <v>0</v>
      </c>
      <c r="AA5" s="60" cm="1">
        <f t="array" ref="AA5">IFERROR(SUMPRODUCT((TRIM('DATA INPUT'!$H$3:$H$8999)=$A5)*('DATA INPUT'!$M$3:$M$8999&gt;=6)*('DATA INPUT'!$M$3:$M$8999&lt;7)*'DATA INPUT'!$U$3:$U$8999)/SUMPRODUCT((TRIM('DATA INPUT'!$H$3:$H$8999)=$A5)*('DATA INPUT'!$M$3:$M$8999&gt;=6)*('DATA INPUT'!$M$3:$M$8999&lt;7)*'DATA INPUT'!$L$3:$L$8999),0)</f>
        <v>-1</v>
      </c>
      <c r="AB5" s="60" cm="1">
        <f t="array" ref="AB5">IFERROR(SUMPRODUCT((TRIM('DATA INPUT'!$H$3:$H$8999)=$A5)*('DATA INPUT'!$M$3:$M$8999&gt;=7)*('DATA INPUT'!$M$3:$M$8999&lt;8)*'DATA INPUT'!$U$3:$U$8999)/SUMPRODUCT((TRIM('DATA INPUT'!$H$3:$H$8999)=$A5)*('DATA INPUT'!$M$3:$M$8999&gt;=7)*('DATA INPUT'!$M$3:$M$8999&lt;8)*'DATA INPUT'!$L$3:$L$8999),0)</f>
        <v>0</v>
      </c>
      <c r="AC5" s="60" cm="1">
        <f t="array" ref="AC5">IFERROR(SUMPRODUCT((TRIM('DATA INPUT'!$H$3:$H$8999)=$A5)*('DATA INPUT'!$M$3:$M$8999&gt;=8)*('DATA INPUT'!$M$3:$M$8999&lt;9)*'DATA INPUT'!$U$3:$U$8999)/SUMPRODUCT((TRIM('DATA INPUT'!$H$3:$H$8999)=$A5)*('DATA INPUT'!$M$3:$M$8999&gt;=8)*('DATA INPUT'!$M$3:$M$8999&lt;9)*'DATA INPUT'!$L$3:$L$8999),0)</f>
        <v>0</v>
      </c>
      <c r="AD5" s="60" cm="1">
        <f t="array" ref="AD5">IFERROR(SUMPRODUCT((TRIM('DATA INPUT'!$H$3:$H$8999)=$A5)*('DATA INPUT'!$M$3:$M$8999&gt;=9)*('DATA INPUT'!$M$3:$M$8999&lt;10)*'DATA INPUT'!$U$3:$U$8999)/SUMPRODUCT((TRIM('DATA INPUT'!$H$3:$H$8999)=$A5)*('DATA INPUT'!$M$3:$M$8999&gt;=9)*('DATA INPUT'!$M$3:$M$8999&lt;10)*'DATA INPUT'!$L$3:$L$8999),0)</f>
        <v>-1</v>
      </c>
      <c r="AE5" s="60" cm="1">
        <f t="array" ref="AE5">IFERROR(SUMPRODUCT((TRIM('DATA INPUT'!$H$3:$H$8999)=$A5)*('DATA INPUT'!$M$3:$M$8999&gt;=10)*('DATA INPUT'!$M$3:$M$8999&lt;20)*'DATA INPUT'!$U$3:$U$8999)/SUMPRODUCT((TRIM('DATA INPUT'!$H$3:$H$8999)=$A5)*('DATA INPUT'!$M$3:$M$8999&gt;=10)*('DATA INPUT'!$M$3:$M$8999&lt;20)*'DATA INPUT'!$L$3:$L$8999),0)</f>
        <v>-1</v>
      </c>
      <c r="AF5" s="60" cm="1">
        <f t="array" ref="AF5">IFERROR(SUMPRODUCT((TRIM('DATA INPUT'!$H$3:$H$8999)=$A5)*('DATA INPUT'!$M$3:$M$8999&gt;=20)*('DATA INPUT'!$M$3:$M$8999&lt;30)*'DATA INPUT'!$U$3:$U$8999)/SUMPRODUCT((TRIM('DATA INPUT'!$H$3:$H$8999)=$A5)*('DATA INPUT'!$M$3:$M$8999&gt;=20)*('DATA INPUT'!$M$3:$M$8999&lt;30)*'DATA INPUT'!$L$3:$L$8999),0)</f>
        <v>-1</v>
      </c>
      <c r="AG5" s="60" cm="1">
        <f t="array" ref="AG5">IFERROR(SUMPRODUCT((TRIM('DATA INPUT'!$H$3:$H$8999)=$A5)*('DATA INPUT'!$M$3:$M$8999&gt;=30)*('DATA INPUT'!$M$3:$M$8999&lt;40)*'DATA INPUT'!$U$3:$U$8999)/SUMPRODUCT((TRIM('DATA INPUT'!$H$3:$H$8999)=$A5)*('DATA INPUT'!$M$3:$M$8999&gt;=30)*('DATA INPUT'!$M$3:$M$8999&lt;40)*'DATA INPUT'!$L$3:$L$8999),0)</f>
        <v>-1</v>
      </c>
      <c r="AH5" s="60" cm="1">
        <f t="array" ref="AH5">IFERROR(SUMPRODUCT((TRIM('DATA INPUT'!$H$3:$H$8999)=$A5)*('DATA INPUT'!$M$3:$M$8999&gt;=40)*('DATA INPUT'!$M$3:$M$8999&lt;50)*'DATA INPUT'!$U$3:$U$8999)/SUMPRODUCT((TRIM('DATA INPUT'!$H$3:$H$8999)=$A5)*('DATA INPUT'!$M$3:$M$8999&gt;=40)*('DATA INPUT'!$M$3:$M$8999&lt;50)*'DATA INPUT'!$L$3:$L$8999),0)</f>
        <v>0</v>
      </c>
      <c r="AI5" s="60" cm="1">
        <f t="array" ref="AI5">IFERROR(SUMPRODUCT((TRIM('DATA INPUT'!$H$3:$H$8999)=$A5)*('DATA INPUT'!$M$3:$M$8999&gt;=50)*'DATA INPUT'!$U$3:$U$8999)/SUMPRODUCT((TRIM('DATA INPUT'!$H$3:$H$8999)=$A5)*('DATA INPUT'!$M$3:$M$8999&gt;=50)*'DATA INPUT'!$L$3:$L$8999),0)</f>
        <v>0</v>
      </c>
    </row>
    <row r="6" spans="1:35" x14ac:dyDescent="0.2">
      <c r="A6" s="54" t="s">
        <v>140</v>
      </c>
      <c r="B6" s="75" cm="1">
        <f t="array" ref="B6">SUMPRODUCT((TRIM('DATA INPUT'!$H$3:$H$8999)=$A6)*'DATA INPUT'!$L$3:$L$8999)</f>
        <v>33.699999999999996</v>
      </c>
      <c r="C6" s="75">
        <f t="shared" si="0"/>
        <v>20.343799999999995</v>
      </c>
      <c r="D6" s="75" cm="1">
        <f t="array" ref="D6">SUMPRODUCT((TRIM('DATA INPUT'!$H$3:$H$8999)=$A6)*'DATA INPUT'!$U$3:$U$8999)</f>
        <v>-13.356199999999999</v>
      </c>
      <c r="E6" s="78">
        <f t="shared" si="1"/>
        <v>-0.39632640949554898</v>
      </c>
      <c r="F6" s="53" t="s">
        <v>87</v>
      </c>
      <c r="G6" s="58" cm="1">
        <f t="array" ref="G6">SUMPRODUCT((TRIM('DATA INPUT'!$H$3:$H$8999)=$A6)*('DATA INPUT'!$M$3:$M$8999&gt;=1)*('DATA INPUT'!$M$3:$M$8999&lt;2)*'DATA INPUT'!$U$3:$U$8999)</f>
        <v>0</v>
      </c>
      <c r="H6" s="58" cm="1">
        <f t="array" ref="H6">SUMPRODUCT((TRIM('DATA INPUT'!$H$3:$H$8999)=$A6)*('DATA INPUT'!$M$3:$M$8999&gt;=2)*('DATA INPUT'!$M$3:$M$8999&lt;3)*'DATA INPUT'!$U$3:$U$8999)</f>
        <v>0.56000000000000005</v>
      </c>
      <c r="I6" s="58" cm="1">
        <f t="array" ref="I6">SUMPRODUCT((TRIM('DATA INPUT'!$H$3:$H$8999)=$A6)*('DATA INPUT'!$M$3:$M$8999&gt;=3)*('DATA INPUT'!$M$3:$M$8999&lt;4)*'DATA INPUT'!$U$3:$U$8999)</f>
        <v>-0.2</v>
      </c>
      <c r="J6" s="58" cm="1">
        <f t="array" ref="J6">SUMPRODUCT((TRIM('DATA INPUT'!$H$3:$H$8999)=$A6)*('DATA INPUT'!$M$3:$M$8999&gt;=4)*('DATA INPUT'!$M$3:$M$8999&lt;5)*'DATA INPUT'!$U$3:$U$8999)</f>
        <v>0</v>
      </c>
      <c r="K6" s="58" cm="1">
        <f t="array" ref="K6">SUMPRODUCT((TRIM('DATA INPUT'!$H$3:$H$8999)=$A6)*('DATA INPUT'!$M$3:$M$8999&gt;=5)*('DATA INPUT'!$M$3:$M$8999&lt;6)*'DATA INPUT'!$U$3:$U$8999)</f>
        <v>-0.4</v>
      </c>
      <c r="L6" s="58" cm="1">
        <f t="array" ref="L6">SUMPRODUCT((TRIM('DATA INPUT'!$H$3:$H$8999)=$A6)*('DATA INPUT'!$M$3:$M$8999&gt;=6)*('DATA INPUT'!$M$3:$M$8999&lt;7)*'DATA INPUT'!$U$3:$U$8999)</f>
        <v>0</v>
      </c>
      <c r="M6" s="58" cm="1">
        <f t="array" ref="M6">SUMPRODUCT((TRIM('DATA INPUT'!$H$3:$H$8999)=$A6)*('DATA INPUT'!$M$3:$M$8999&gt;=7)*('DATA INPUT'!$M$3:$M$8999&lt;8)*'DATA INPUT'!$U$3:$U$8999)</f>
        <v>0</v>
      </c>
      <c r="N6" s="58" cm="1">
        <f t="array" ref="N6">SUMPRODUCT((TRIM('DATA INPUT'!$H$3:$H$8999)=$A6)*('DATA INPUT'!$M$3:$M$8999&gt;=8)*('DATA INPUT'!$M$3:$M$8999&lt;9)*'DATA INPUT'!$U$3:$U$8999)</f>
        <v>-4</v>
      </c>
      <c r="O6" s="58" cm="1">
        <f t="array" ref="O6">SUMPRODUCT((TRIM('DATA INPUT'!$H$3:$H$8999)=$A6)*('DATA INPUT'!$M$3:$M$8999&gt;=9)*('DATA INPUT'!$M$3:$M$8999&lt;10)*'DATA INPUT'!$U$3:$U$8999)</f>
        <v>-3</v>
      </c>
      <c r="P6" s="58" cm="1">
        <f t="array" ref="P6">SUMPRODUCT((TRIM('DATA INPUT'!$H$3:$H$8999)=$A6)*('DATA INPUT'!$M$3:$M$8999&gt;=10)*('DATA INPUT'!$M$3:$M$8999&lt;20)*'DATA INPUT'!$U$3:$U$8999)</f>
        <v>-17.5</v>
      </c>
      <c r="Q6" s="58" cm="1">
        <f t="array" ref="Q6">SUMPRODUCT((TRIM('DATA INPUT'!$H$3:$H$8999)=$A6)*('DATA INPUT'!$M$3:$M$8999&gt;=20)*('DATA INPUT'!$M$3:$M$8999&lt;30)*'DATA INPUT'!$U$3:$U$8999)</f>
        <v>11.683800000000002</v>
      </c>
      <c r="R6" s="58" cm="1">
        <f t="array" ref="R6">SUMPRODUCT((TRIM('DATA INPUT'!$H$3:$H$8999)=$A6)*('DATA INPUT'!$M$3:$M$8999&gt;=30)*('DATA INPUT'!$M$3:$M$8999&lt;40)*'DATA INPUT'!$U$3:$U$8999)</f>
        <v>-0.5</v>
      </c>
      <c r="S6" s="58" cm="1">
        <f t="array" ref="S6">SUMPRODUCT((TRIM('DATA INPUT'!$H$3:$H$8999)=$A6)*('DATA INPUT'!$M$3:$M$8999&gt;=40)*('DATA INPUT'!$M$3:$M$8999&lt;50)*'DATA INPUT'!$U$3:$U$8999)</f>
        <v>0</v>
      </c>
      <c r="T6" s="58" cm="1">
        <f t="array" ref="T6">SUMPRODUCT((TRIM('DATA INPUT'!$H$3:$H$8999)=$A6)*('DATA INPUT'!$M$3:$M$8999&gt;=50)*'DATA INPUT'!$U$3:$U$8999)</f>
        <v>0</v>
      </c>
      <c r="U6" s="53" t="s">
        <v>87</v>
      </c>
      <c r="V6" s="60" cm="1">
        <f t="array" ref="V6">IFERROR(SUMPRODUCT((TRIM('DATA INPUT'!$H$3:$H$8999)=$A6)*('DATA INPUT'!$M$3:$M$8999&gt;=1)*('DATA INPUT'!$M$3:$M$8999&lt;2)*'DATA INPUT'!$U$3:$U$8999)/SUMPRODUCT((TRIM('DATA INPUT'!$H$3:$H$8999)=$A6)*('DATA INPUT'!$M$3:$M$8999&gt;=1)*('DATA INPUT'!$M$3:$M$8999&lt;2)*'DATA INPUT'!$L$3:$L$8999),0)</f>
        <v>0</v>
      </c>
      <c r="W6" s="60" cm="1">
        <f t="array" ref="W6">IFERROR(SUMPRODUCT((TRIM('DATA INPUT'!$H$3:$H$8999)=$A6)*('DATA INPUT'!$M$3:$M$8999&gt;=2)*('DATA INPUT'!$M$3:$M$8999&lt;3)*'DATA INPUT'!$U$3:$U$8999)/SUMPRODUCT((TRIM('DATA INPUT'!$H$3:$H$8999)=$A6)*('DATA INPUT'!$M$3:$M$8999&gt;=2)*('DATA INPUT'!$M$3:$M$8999&lt;3)*'DATA INPUT'!$L$3:$L$8999),0)</f>
        <v>0.93333333333333324</v>
      </c>
      <c r="X6" s="60" cm="1">
        <f t="array" ref="X6">IFERROR(SUMPRODUCT((TRIM('DATA INPUT'!$H$3:$H$8999)=$A6)*('DATA INPUT'!$M$3:$M$8999&gt;=3)*('DATA INPUT'!$M$3:$M$8999&lt;4)*'DATA INPUT'!$U$3:$U$8999)/SUMPRODUCT((TRIM('DATA INPUT'!$H$3:$H$8999)=$A6)*('DATA INPUT'!$M$3:$M$8999&gt;=3)*('DATA INPUT'!$M$3:$M$8999&lt;4)*'DATA INPUT'!$L$3:$L$8999),0)</f>
        <v>-1</v>
      </c>
      <c r="Y6" s="60" cm="1">
        <f t="array" ref="Y6">IFERROR(SUMPRODUCT((TRIM('DATA INPUT'!$H$3:$H$8999)=$A6)*('DATA INPUT'!$M$3:$M$8999&gt;=4)*('DATA INPUT'!$M$3:$M$8999&lt;5)*'DATA INPUT'!$U$3:$U$8999)/SUMPRODUCT((TRIM('DATA INPUT'!$H$3:$H$8999)=$A6)*('DATA INPUT'!$M$3:$M$8999&gt;=4)*('DATA INPUT'!$M$3:$M$8999&lt;5)*'DATA INPUT'!$L$3:$L$8999),0)</f>
        <v>0</v>
      </c>
      <c r="Z6" s="60" cm="1">
        <f t="array" ref="Z6">IFERROR(SUMPRODUCT((TRIM('DATA INPUT'!$H$3:$H$8999)=$A6)*('DATA INPUT'!$M$3:$M$8999&gt;=5)*('DATA INPUT'!$M$3:$M$8999&lt;6)*'DATA INPUT'!$U$3:$U$8999)/SUMPRODUCT((TRIM('DATA INPUT'!$H$3:$H$8999)=$A6)*('DATA INPUT'!$M$3:$M$8999&gt;=5)*('DATA INPUT'!$M$3:$M$8999&lt;6)*'DATA INPUT'!$L$3:$L$8999),0)</f>
        <v>-1</v>
      </c>
      <c r="AA6" s="60" cm="1">
        <f t="array" ref="AA6">IFERROR(SUMPRODUCT((TRIM('DATA INPUT'!$H$3:$H$8999)=$A6)*('DATA INPUT'!$M$3:$M$8999&gt;=6)*('DATA INPUT'!$M$3:$M$8999&lt;7)*'DATA INPUT'!$U$3:$U$8999)/SUMPRODUCT((TRIM('DATA INPUT'!$H$3:$H$8999)=$A6)*('DATA INPUT'!$M$3:$M$8999&gt;=6)*('DATA INPUT'!$M$3:$M$8999&lt;7)*'DATA INPUT'!$L$3:$L$8999),0)</f>
        <v>0</v>
      </c>
      <c r="AB6" s="60" cm="1">
        <f t="array" ref="AB6">IFERROR(SUMPRODUCT((TRIM('DATA INPUT'!$H$3:$H$8999)=$A6)*('DATA INPUT'!$M$3:$M$8999&gt;=7)*('DATA INPUT'!$M$3:$M$8999&lt;8)*'DATA INPUT'!$U$3:$U$8999)/SUMPRODUCT((TRIM('DATA INPUT'!$H$3:$H$8999)=$A6)*('DATA INPUT'!$M$3:$M$8999&gt;=7)*('DATA INPUT'!$M$3:$M$8999&lt;8)*'DATA INPUT'!$L$3:$L$8999),0)</f>
        <v>0</v>
      </c>
      <c r="AC6" s="60" cm="1">
        <f t="array" ref="AC6">IFERROR(SUMPRODUCT((TRIM('DATA INPUT'!$H$3:$H$8999)=$A6)*('DATA INPUT'!$M$3:$M$8999&gt;=8)*('DATA INPUT'!$M$3:$M$8999&lt;9)*'DATA INPUT'!$U$3:$U$8999)/SUMPRODUCT((TRIM('DATA INPUT'!$H$3:$H$8999)=$A6)*('DATA INPUT'!$M$3:$M$8999&gt;=8)*('DATA INPUT'!$M$3:$M$8999&lt;9)*'DATA INPUT'!$L$3:$L$8999),0)</f>
        <v>-1</v>
      </c>
      <c r="AD6" s="60" cm="1">
        <f t="array" ref="AD6">IFERROR(SUMPRODUCT((TRIM('DATA INPUT'!$H$3:$H$8999)=$A6)*('DATA INPUT'!$M$3:$M$8999&gt;=9)*('DATA INPUT'!$M$3:$M$8999&lt;10)*'DATA INPUT'!$U$3:$U$8999)/SUMPRODUCT((TRIM('DATA INPUT'!$H$3:$H$8999)=$A6)*('DATA INPUT'!$M$3:$M$8999&gt;=9)*('DATA INPUT'!$M$3:$M$8999&lt;10)*'DATA INPUT'!$L$3:$L$8999),0)</f>
        <v>-1</v>
      </c>
      <c r="AE6" s="60" cm="1">
        <f t="array" ref="AE6">IFERROR(SUMPRODUCT((TRIM('DATA INPUT'!$H$3:$H$8999)=$A6)*('DATA INPUT'!$M$3:$M$8999&gt;=10)*('DATA INPUT'!$M$3:$M$8999&lt;20)*'DATA INPUT'!$U$3:$U$8999)/SUMPRODUCT((TRIM('DATA INPUT'!$H$3:$H$8999)=$A6)*('DATA INPUT'!$M$3:$M$8999&gt;=10)*('DATA INPUT'!$M$3:$M$8999&lt;20)*'DATA INPUT'!$L$3:$L$8999),0)</f>
        <v>-1</v>
      </c>
      <c r="AF6" s="60" cm="1">
        <f t="array" ref="AF6">IFERROR(SUMPRODUCT((TRIM('DATA INPUT'!$H$3:$H$8999)=$A6)*('DATA INPUT'!$M$3:$M$8999&gt;=20)*('DATA INPUT'!$M$3:$M$8999&lt;30)*'DATA INPUT'!$U$3:$U$8999)/SUMPRODUCT((TRIM('DATA INPUT'!$H$3:$H$8999)=$A6)*('DATA INPUT'!$M$3:$M$8999&gt;=20)*('DATA INPUT'!$M$3:$M$8999&lt;30)*'DATA INPUT'!$L$3:$L$8999),0)</f>
        <v>1.5578400000000001</v>
      </c>
      <c r="AG6" s="60" cm="1">
        <f t="array" ref="AG6">IFERROR(SUMPRODUCT((TRIM('DATA INPUT'!$H$3:$H$8999)=$A6)*('DATA INPUT'!$M$3:$M$8999&gt;=30)*('DATA INPUT'!$M$3:$M$8999&lt;40)*'DATA INPUT'!$U$3:$U$8999)/SUMPRODUCT((TRIM('DATA INPUT'!$H$3:$H$8999)=$A6)*('DATA INPUT'!$M$3:$M$8999&gt;=30)*('DATA INPUT'!$M$3:$M$8999&lt;40)*'DATA INPUT'!$L$3:$L$8999),0)</f>
        <v>-1</v>
      </c>
      <c r="AH6" s="60" cm="1">
        <f t="array" ref="AH6">IFERROR(SUMPRODUCT((TRIM('DATA INPUT'!$H$3:$H$8999)=$A6)*('DATA INPUT'!$M$3:$M$8999&gt;=40)*('DATA INPUT'!$M$3:$M$8999&lt;50)*'DATA INPUT'!$U$3:$U$8999)/SUMPRODUCT((TRIM('DATA INPUT'!$H$3:$H$8999)=$A6)*('DATA INPUT'!$M$3:$M$8999&gt;=40)*('DATA INPUT'!$M$3:$M$8999&lt;50)*'DATA INPUT'!$L$3:$L$8999),0)</f>
        <v>0</v>
      </c>
      <c r="AI6" s="60" cm="1">
        <f t="array" ref="AI6">IFERROR(SUMPRODUCT((TRIM('DATA INPUT'!$H$3:$H$8999)=$A6)*('DATA INPUT'!$M$3:$M$8999&gt;=50)*'DATA INPUT'!$U$3:$U$8999)/SUMPRODUCT((TRIM('DATA INPUT'!$H$3:$H$8999)=$A6)*('DATA INPUT'!$M$3:$M$8999&gt;=50)*'DATA INPUT'!$L$3:$L$8999),0)</f>
        <v>0</v>
      </c>
    </row>
    <row r="7" spans="1:35" x14ac:dyDescent="0.2">
      <c r="A7" s="54" t="s">
        <v>141</v>
      </c>
      <c r="B7" s="75" cm="1">
        <f t="array" ref="B7">SUMPRODUCT((TRIM('DATA INPUT'!$H$3:$H$8999)=$A7)*'DATA INPUT'!$L$3:$L$8999)</f>
        <v>40.800000000000011</v>
      </c>
      <c r="C7" s="75">
        <f t="shared" si="0"/>
        <v>39.583280000000016</v>
      </c>
      <c r="D7" s="75" cm="1">
        <f t="array" ref="D7">SUMPRODUCT((TRIM('DATA INPUT'!$H$3:$H$8999)=$A7)*'DATA INPUT'!$U$3:$U$8999)</f>
        <v>-1.2167199999999934</v>
      </c>
      <c r="E7" s="78">
        <f t="shared" si="1"/>
        <v>-2.982156862745081E-2</v>
      </c>
      <c r="F7" s="53" t="s">
        <v>87</v>
      </c>
      <c r="G7" s="58" cm="1">
        <f t="array" ref="G7">SUMPRODUCT((TRIM('DATA INPUT'!$H$3:$H$8999)=$A7)*('DATA INPUT'!$M$3:$M$8999&gt;=1)*('DATA INPUT'!$M$3:$M$8999&lt;2)*'DATA INPUT'!$U$3:$U$8999)</f>
        <v>0</v>
      </c>
      <c r="H7" s="58" cm="1">
        <f t="array" ref="H7">SUMPRODUCT((TRIM('DATA INPUT'!$H$3:$H$8999)=$A7)*('DATA INPUT'!$M$3:$M$8999&gt;=2)*('DATA INPUT'!$M$3:$M$8999&lt;3)*'DATA INPUT'!$U$3:$U$8999)</f>
        <v>8.3999999999999964E-2</v>
      </c>
      <c r="I7" s="58" cm="1">
        <f t="array" ref="I7">SUMPRODUCT((TRIM('DATA INPUT'!$H$3:$H$8999)=$A7)*('DATA INPUT'!$M$3:$M$8999&gt;=3)*('DATA INPUT'!$M$3:$M$8999&lt;4)*'DATA INPUT'!$U$3:$U$8999)</f>
        <v>-0.2</v>
      </c>
      <c r="J7" s="58" cm="1">
        <f t="array" ref="J7">SUMPRODUCT((TRIM('DATA INPUT'!$H$3:$H$8999)=$A7)*('DATA INPUT'!$M$3:$M$8999&gt;=4)*('DATA INPUT'!$M$3:$M$8999&lt;5)*'DATA INPUT'!$U$3:$U$8999)</f>
        <v>0.66104000000000163</v>
      </c>
      <c r="K7" s="58" cm="1">
        <f t="array" ref="K7">SUMPRODUCT((TRIM('DATA INPUT'!$H$3:$H$8999)=$A7)*('DATA INPUT'!$M$3:$M$8999&gt;=5)*('DATA INPUT'!$M$3:$M$8999&lt;6)*'DATA INPUT'!$U$3:$U$8999)</f>
        <v>0.92400000000000004</v>
      </c>
      <c r="L7" s="58" cm="1">
        <f t="array" ref="L7">SUMPRODUCT((TRIM('DATA INPUT'!$H$3:$H$8999)=$A7)*('DATA INPUT'!$M$3:$M$8999&gt;=6)*('DATA INPUT'!$M$3:$M$8999&lt;7)*'DATA INPUT'!$U$3:$U$8999)</f>
        <v>-0.2</v>
      </c>
      <c r="M7" s="58" cm="1">
        <f t="array" ref="M7">SUMPRODUCT((TRIM('DATA INPUT'!$H$3:$H$8999)=$A7)*('DATA INPUT'!$M$3:$M$8999&gt;=7)*('DATA INPUT'!$M$3:$M$8999&lt;8)*'DATA INPUT'!$U$3:$U$8999)</f>
        <v>-0.4</v>
      </c>
      <c r="N7" s="58" cm="1">
        <f t="array" ref="N7">SUMPRODUCT((TRIM('DATA INPUT'!$H$3:$H$8999)=$A7)*('DATA INPUT'!$M$3:$M$8999&gt;=8)*('DATA INPUT'!$M$3:$M$8999&lt;9)*'DATA INPUT'!$U$3:$U$8999)</f>
        <v>0.22000000000000064</v>
      </c>
      <c r="O7" s="58" cm="1">
        <f t="array" ref="O7">SUMPRODUCT((TRIM('DATA INPUT'!$H$3:$H$8999)=$A7)*('DATA INPUT'!$M$3:$M$8999&gt;=9)*('DATA INPUT'!$M$3:$M$8999&lt;10)*'DATA INPUT'!$U$3:$U$8999)</f>
        <v>0.62063999999999986</v>
      </c>
      <c r="P7" s="58" cm="1">
        <f t="array" ref="P7">SUMPRODUCT((TRIM('DATA INPUT'!$H$3:$H$8999)=$A7)*('DATA INPUT'!$M$3:$M$8999&gt;=10)*('DATA INPUT'!$M$3:$M$8999&lt;20)*'DATA INPUT'!$U$3:$U$8999)</f>
        <v>7.0736000000000008</v>
      </c>
      <c r="Q7" s="58" cm="1">
        <f t="array" ref="Q7">SUMPRODUCT((TRIM('DATA INPUT'!$H$3:$H$8999)=$A7)*('DATA INPUT'!$M$3:$M$8999&gt;=20)*('DATA INPUT'!$M$3:$M$8999&lt;30)*'DATA INPUT'!$U$3:$U$8999)</f>
        <v>-9</v>
      </c>
      <c r="R7" s="58" cm="1">
        <f t="array" ref="R7">SUMPRODUCT((TRIM('DATA INPUT'!$H$3:$H$8999)=$A7)*('DATA INPUT'!$M$3:$M$8999&gt;=30)*('DATA INPUT'!$M$3:$M$8999&lt;40)*'DATA INPUT'!$U$3:$U$8999)</f>
        <v>-1</v>
      </c>
      <c r="S7" s="58" cm="1">
        <f t="array" ref="S7">SUMPRODUCT((TRIM('DATA INPUT'!$H$3:$H$8999)=$A7)*('DATA INPUT'!$M$3:$M$8999&gt;=40)*('DATA INPUT'!$M$3:$M$8999&lt;50)*'DATA INPUT'!$U$3:$U$8999)</f>
        <v>0</v>
      </c>
      <c r="T7" s="58" cm="1">
        <f t="array" ref="T7">SUMPRODUCT((TRIM('DATA INPUT'!$H$3:$H$8999)=$A7)*('DATA INPUT'!$M$3:$M$8999&gt;=50)*'DATA INPUT'!$U$3:$U$8999)</f>
        <v>0</v>
      </c>
      <c r="U7" s="53" t="s">
        <v>87</v>
      </c>
      <c r="V7" s="60" cm="1">
        <f t="array" ref="V7">IFERROR(SUMPRODUCT((TRIM('DATA INPUT'!$H$3:$H$8999)=$A7)*('DATA INPUT'!$M$3:$M$8999&gt;=1)*('DATA INPUT'!$M$3:$M$8999&lt;2)*'DATA INPUT'!$U$3:$U$8999)/SUMPRODUCT((TRIM('DATA INPUT'!$H$3:$H$8999)=$A7)*('DATA INPUT'!$M$3:$M$8999&gt;=1)*('DATA INPUT'!$M$3:$M$8999&lt;2)*'DATA INPUT'!$L$3:$L$8999),0)</f>
        <v>0</v>
      </c>
      <c r="W7" s="60" cm="1">
        <f t="array" ref="W7">IFERROR(SUMPRODUCT((TRIM('DATA INPUT'!$H$3:$H$8999)=$A7)*('DATA INPUT'!$M$3:$M$8999&gt;=2)*('DATA INPUT'!$M$3:$M$8999&lt;3)*'DATA INPUT'!$U$3:$U$8999)/SUMPRODUCT((TRIM('DATA INPUT'!$H$3:$H$8999)=$A7)*('DATA INPUT'!$M$3:$M$8999&gt;=2)*('DATA INPUT'!$M$3:$M$8999&lt;3)*'DATA INPUT'!$L$3:$L$8999),0)</f>
        <v>0.20999999999999991</v>
      </c>
      <c r="X7" s="60" cm="1">
        <f t="array" ref="X7">IFERROR(SUMPRODUCT((TRIM('DATA INPUT'!$H$3:$H$8999)=$A7)*('DATA INPUT'!$M$3:$M$8999&gt;=3)*('DATA INPUT'!$M$3:$M$8999&lt;4)*'DATA INPUT'!$U$3:$U$8999)/SUMPRODUCT((TRIM('DATA INPUT'!$H$3:$H$8999)=$A7)*('DATA INPUT'!$M$3:$M$8999&gt;=3)*('DATA INPUT'!$M$3:$M$8999&lt;4)*'DATA INPUT'!$L$3:$L$8999),0)</f>
        <v>-1</v>
      </c>
      <c r="Y7" s="60" cm="1">
        <f t="array" ref="Y7">IFERROR(SUMPRODUCT((TRIM('DATA INPUT'!$H$3:$H$8999)=$A7)*('DATA INPUT'!$M$3:$M$8999&gt;=4)*('DATA INPUT'!$M$3:$M$8999&lt;5)*'DATA INPUT'!$U$3:$U$8999)/SUMPRODUCT((TRIM('DATA INPUT'!$H$3:$H$8999)=$A7)*('DATA INPUT'!$M$3:$M$8999&gt;=4)*('DATA INPUT'!$M$3:$M$8999&lt;5)*'DATA INPUT'!$L$3:$L$8999),0)</f>
        <v>0.47217142857142974</v>
      </c>
      <c r="Z7" s="60" cm="1">
        <f t="array" ref="Z7">IFERROR(SUMPRODUCT((TRIM('DATA INPUT'!$H$3:$H$8999)=$A7)*('DATA INPUT'!$M$3:$M$8999&gt;=5)*('DATA INPUT'!$M$3:$M$8999&lt;6)*'DATA INPUT'!$U$3:$U$8999)/SUMPRODUCT((TRIM('DATA INPUT'!$H$3:$H$8999)=$A7)*('DATA INPUT'!$M$3:$M$8999&gt;=5)*('DATA INPUT'!$M$3:$M$8999&lt;6)*'DATA INPUT'!$L$3:$L$8999),0)</f>
        <v>4.62</v>
      </c>
      <c r="AA7" s="60" cm="1">
        <f t="array" ref="AA7">IFERROR(SUMPRODUCT((TRIM('DATA INPUT'!$H$3:$H$8999)=$A7)*('DATA INPUT'!$M$3:$M$8999&gt;=6)*('DATA INPUT'!$M$3:$M$8999&lt;7)*'DATA INPUT'!$U$3:$U$8999)/SUMPRODUCT((TRIM('DATA INPUT'!$H$3:$H$8999)=$A7)*('DATA INPUT'!$M$3:$M$8999&gt;=6)*('DATA INPUT'!$M$3:$M$8999&lt;7)*'DATA INPUT'!$L$3:$L$8999),0)</f>
        <v>-1</v>
      </c>
      <c r="AB7" s="60" cm="1">
        <f t="array" ref="AB7">IFERROR(SUMPRODUCT((TRIM('DATA INPUT'!$H$3:$H$8999)=$A7)*('DATA INPUT'!$M$3:$M$8999&gt;=7)*('DATA INPUT'!$M$3:$M$8999&lt;8)*'DATA INPUT'!$U$3:$U$8999)/SUMPRODUCT((TRIM('DATA INPUT'!$H$3:$H$8999)=$A7)*('DATA INPUT'!$M$3:$M$8999&gt;=7)*('DATA INPUT'!$M$3:$M$8999&lt;8)*'DATA INPUT'!$L$3:$L$8999),0)</f>
        <v>-1</v>
      </c>
      <c r="AC7" s="60" cm="1">
        <f t="array" ref="AC7">IFERROR(SUMPRODUCT((TRIM('DATA INPUT'!$H$3:$H$8999)=$A7)*('DATA INPUT'!$M$3:$M$8999&gt;=8)*('DATA INPUT'!$M$3:$M$8999&lt;9)*'DATA INPUT'!$U$3:$U$8999)/SUMPRODUCT((TRIM('DATA INPUT'!$H$3:$H$8999)=$A7)*('DATA INPUT'!$M$3:$M$8999&gt;=8)*('DATA INPUT'!$M$3:$M$8999&lt;9)*'DATA INPUT'!$L$3:$L$8999),0)</f>
        <v>4.888888888888903E-2</v>
      </c>
      <c r="AD7" s="60" cm="1">
        <f t="array" ref="AD7">IFERROR(SUMPRODUCT((TRIM('DATA INPUT'!$H$3:$H$8999)=$A7)*('DATA INPUT'!$M$3:$M$8999&gt;=9)*('DATA INPUT'!$M$3:$M$8999&lt;10)*'DATA INPUT'!$U$3:$U$8999)/SUMPRODUCT((TRIM('DATA INPUT'!$H$3:$H$8999)=$A7)*('DATA INPUT'!$M$3:$M$8999&gt;=9)*('DATA INPUT'!$M$3:$M$8999&lt;10)*'DATA INPUT'!$L$3:$L$8999),0)</f>
        <v>0.15515999999999996</v>
      </c>
      <c r="AE7" s="60" cm="1">
        <f t="array" ref="AE7">IFERROR(SUMPRODUCT((TRIM('DATA INPUT'!$H$3:$H$8999)=$A7)*('DATA INPUT'!$M$3:$M$8999&gt;=10)*('DATA INPUT'!$M$3:$M$8999&lt;20)*'DATA INPUT'!$U$3:$U$8999)/SUMPRODUCT((TRIM('DATA INPUT'!$H$3:$H$8999)=$A7)*('DATA INPUT'!$M$3:$M$8999&gt;=10)*('DATA INPUT'!$M$3:$M$8999&lt;20)*'DATA INPUT'!$L$3:$L$8999),0)</f>
        <v>0.36274871794871799</v>
      </c>
      <c r="AF7" s="60" cm="1">
        <f t="array" ref="AF7">IFERROR(SUMPRODUCT((TRIM('DATA INPUT'!$H$3:$H$8999)=$A7)*('DATA INPUT'!$M$3:$M$8999&gt;=20)*('DATA INPUT'!$M$3:$M$8999&lt;30)*'DATA INPUT'!$U$3:$U$8999)/SUMPRODUCT((TRIM('DATA INPUT'!$H$3:$H$8999)=$A7)*('DATA INPUT'!$M$3:$M$8999&gt;=20)*('DATA INPUT'!$M$3:$M$8999&lt;30)*'DATA INPUT'!$L$3:$L$8999),0)</f>
        <v>-1</v>
      </c>
      <c r="AG7" s="60" cm="1">
        <f t="array" ref="AG7">IFERROR(SUMPRODUCT((TRIM('DATA INPUT'!$H$3:$H$8999)=$A7)*('DATA INPUT'!$M$3:$M$8999&gt;=30)*('DATA INPUT'!$M$3:$M$8999&lt;40)*'DATA INPUT'!$U$3:$U$8999)/SUMPRODUCT((TRIM('DATA INPUT'!$H$3:$H$8999)=$A7)*('DATA INPUT'!$M$3:$M$8999&gt;=30)*('DATA INPUT'!$M$3:$M$8999&lt;40)*'DATA INPUT'!$L$3:$L$8999),0)</f>
        <v>-1</v>
      </c>
      <c r="AH7" s="60" cm="1">
        <f t="array" ref="AH7">IFERROR(SUMPRODUCT((TRIM('DATA INPUT'!$H$3:$H$8999)=$A7)*('DATA INPUT'!$M$3:$M$8999&gt;=40)*('DATA INPUT'!$M$3:$M$8999&lt;50)*'DATA INPUT'!$U$3:$U$8999)/SUMPRODUCT((TRIM('DATA INPUT'!$H$3:$H$8999)=$A7)*('DATA INPUT'!$M$3:$M$8999&gt;=40)*('DATA INPUT'!$M$3:$M$8999&lt;50)*'DATA INPUT'!$L$3:$L$8999),0)</f>
        <v>0</v>
      </c>
      <c r="AI7" s="60" cm="1">
        <f t="array" ref="AI7">IFERROR(SUMPRODUCT((TRIM('DATA INPUT'!$H$3:$H$8999)=$A7)*('DATA INPUT'!$M$3:$M$8999&gt;=50)*'DATA INPUT'!$U$3:$U$8999)/SUMPRODUCT((TRIM('DATA INPUT'!$H$3:$H$8999)=$A7)*('DATA INPUT'!$M$3:$M$8999&gt;=50)*'DATA INPUT'!$L$3:$L$8999),0)</f>
        <v>0</v>
      </c>
    </row>
    <row r="8" spans="1:35" x14ac:dyDescent="0.2">
      <c r="A8" s="52" t="s">
        <v>87</v>
      </c>
      <c r="B8" s="75"/>
      <c r="C8" s="75"/>
      <c r="D8" s="75"/>
      <c r="E8" s="76"/>
      <c r="F8" s="53" t="s">
        <v>87</v>
      </c>
      <c r="G8" s="58"/>
      <c r="H8" s="58"/>
      <c r="I8" s="58"/>
      <c r="J8" s="58"/>
      <c r="K8" s="58"/>
      <c r="L8" s="58"/>
      <c r="M8" s="58"/>
      <c r="N8" s="58"/>
      <c r="O8" s="58"/>
      <c r="P8" s="58"/>
      <c r="Q8" s="58"/>
      <c r="R8" s="58"/>
      <c r="S8" s="58"/>
      <c r="T8" s="58"/>
      <c r="U8" s="53" t="s">
        <v>87</v>
      </c>
      <c r="V8" s="60"/>
      <c r="W8" s="60"/>
      <c r="X8" s="60"/>
      <c r="Y8" s="60"/>
      <c r="Z8" s="60"/>
      <c r="AA8" s="60"/>
      <c r="AB8" s="60"/>
      <c r="AC8" s="60"/>
      <c r="AD8" s="60"/>
      <c r="AE8" s="60"/>
      <c r="AF8" s="60"/>
      <c r="AG8" s="60"/>
      <c r="AH8" s="60"/>
      <c r="AI8" s="60"/>
    </row>
    <row r="9" spans="1:35" x14ac:dyDescent="0.2">
      <c r="A9" s="56" t="s">
        <v>70</v>
      </c>
      <c r="B9" s="79">
        <f>SUM(B2:B7)</f>
        <v>151</v>
      </c>
      <c r="C9" s="79">
        <f>SUM(C2:C7)</f>
        <v>153.93668000000002</v>
      </c>
      <c r="D9" s="79">
        <f>SUM(D2:D7)</f>
        <v>2.9366800000000097</v>
      </c>
      <c r="E9" s="80">
        <f>IFERROR(D9/B9,0)</f>
        <v>1.9448211920529864E-2</v>
      </c>
      <c r="F9" s="57" t="s">
        <v>87</v>
      </c>
      <c r="G9" s="59">
        <f t="shared" ref="G9:T9" si="2">SUM(G2:G7)</f>
        <v>0</v>
      </c>
      <c r="H9" s="59">
        <f t="shared" si="2"/>
        <v>0.64400000000000002</v>
      </c>
      <c r="I9" s="59">
        <f t="shared" si="2"/>
        <v>-0.4</v>
      </c>
      <c r="J9" s="59">
        <f t="shared" si="2"/>
        <v>0.66104000000000163</v>
      </c>
      <c r="K9" s="59">
        <f t="shared" si="2"/>
        <v>0.52400000000000002</v>
      </c>
      <c r="L9" s="59">
        <f t="shared" si="2"/>
        <v>-0.25879999999999975</v>
      </c>
      <c r="M9" s="59">
        <f t="shared" si="2"/>
        <v>1.4279999999999999</v>
      </c>
      <c r="N9" s="59">
        <f t="shared" si="2"/>
        <v>-6.2799999999999994</v>
      </c>
      <c r="O9" s="59">
        <f t="shared" si="2"/>
        <v>-5.8793600000000001</v>
      </c>
      <c r="P9" s="59">
        <f t="shared" si="2"/>
        <v>21.57</v>
      </c>
      <c r="Q9" s="59">
        <f t="shared" si="2"/>
        <v>-2.0721999999999987</v>
      </c>
      <c r="R9" s="59">
        <f t="shared" si="2"/>
        <v>-7</v>
      </c>
      <c r="S9" s="59">
        <f t="shared" si="2"/>
        <v>0</v>
      </c>
      <c r="T9" s="59">
        <f t="shared" si="2"/>
        <v>0</v>
      </c>
      <c r="U9" s="57" t="s">
        <v>87</v>
      </c>
      <c r="V9" s="61" cm="1">
        <f t="array" ref="V9">IFERROR(SUMPRODUCT(('DATA INPUT'!$M$3:$M$8999&gt;=1)*('DATA INPUT'!$M$3:$M$8999&lt;2)*'DATA INPUT'!$U$3:$U$8999)/SUMPRODUCT(('DATA INPUT'!$M$3:$M$8999&gt;=1)*('DATA INPUT'!$M$3:$M$8999&lt;2)*'DATA INPUT'!$L$3:$L$8999),0)</f>
        <v>0</v>
      </c>
      <c r="W9" s="61" cm="1">
        <f t="array" ref="W9">IFERROR(SUMPRODUCT(('DATA INPUT'!$M$3:$M$8999&gt;=2)*('DATA INPUT'!$M$3:$M$8999&lt;3)*'DATA INPUT'!$U$3:$U$8999)/SUMPRODUCT(('DATA INPUT'!$M$3:$M$8999&gt;=2)*('DATA INPUT'!$M$3:$M$8999&lt;3)*'DATA INPUT'!$L$3:$L$8999),0)</f>
        <v>0.64399999999999991</v>
      </c>
      <c r="X9" s="61" cm="1">
        <f t="array" ref="X9">IFERROR(SUMPRODUCT(('DATA INPUT'!$M$3:$M$8999&gt;=3)*('DATA INPUT'!$M$3:$M$8999&lt;4)*'DATA INPUT'!$U$3:$U$8999)/SUMPRODUCT(('DATA INPUT'!$M$3:$M$8999&gt;=3)*('DATA INPUT'!$M$3:$M$8999&lt;4)*'DATA INPUT'!$L$3:$L$8999),0)</f>
        <v>-1</v>
      </c>
      <c r="Y9" s="61" cm="1">
        <f t="array" ref="Y9">IFERROR(SUMPRODUCT(('DATA INPUT'!$M$3:$M$8999&gt;=4)*('DATA INPUT'!$M$3:$M$8999&lt;5)*'DATA INPUT'!$U$3:$U$8999)/SUMPRODUCT(('DATA INPUT'!$M$3:$M$8999&gt;=4)*('DATA INPUT'!$M$3:$M$8999&lt;5)*'DATA INPUT'!$L$3:$L$8999),0)</f>
        <v>0.47217142857142974</v>
      </c>
      <c r="Z9" s="61" cm="1">
        <f t="array" ref="Z9">IFERROR(SUMPRODUCT(('DATA INPUT'!$M$3:$M$8999&gt;=5)*('DATA INPUT'!$M$3:$M$8999&lt;6)*'DATA INPUT'!$U$3:$U$8999)/SUMPRODUCT(('DATA INPUT'!$M$3:$M$8999&gt;=5)*('DATA INPUT'!$M$3:$M$8999&lt;6)*'DATA INPUT'!$L$3:$L$8999),0)</f>
        <v>0.87333333333333329</v>
      </c>
      <c r="AA9" s="61" cm="1">
        <f t="array" ref="AA9">IFERROR(SUMPRODUCT(('DATA INPUT'!$M$3:$M$8999&gt;=6)*('DATA INPUT'!$M$3:$M$8999&lt;7)*'DATA INPUT'!$U$3:$U$8999)/SUMPRODUCT(('DATA INPUT'!$M$3:$M$8999&gt;=6)*('DATA INPUT'!$M$3:$M$8999&lt;7)*'DATA INPUT'!$L$3:$L$8999),0)</f>
        <v>-6.9945945945945873E-2</v>
      </c>
      <c r="AB9" s="61" cm="1">
        <f t="array" ref="AB9">IFERROR(SUMPRODUCT(('DATA INPUT'!$M$3:$M$8999&gt;=7)*('DATA INPUT'!$M$3:$M$8999&lt;8)*'DATA INPUT'!$U$3:$U$8999)/SUMPRODUCT(('DATA INPUT'!$M$3:$M$8999&gt;=7)*('DATA INPUT'!$M$3:$M$8999&lt;8)*'DATA INPUT'!$L$3:$L$8999),0)</f>
        <v>0.59499999999999986</v>
      </c>
      <c r="AC9" s="61" cm="1">
        <f t="array" ref="AC9">IFERROR(SUMPRODUCT(('DATA INPUT'!$M$3:$M$8999&gt;=8)*('DATA INPUT'!$M$3:$M$8999&lt;9)*'DATA INPUT'!$U$3:$U$8999)/SUMPRODUCT(('DATA INPUT'!$M$3:$M$8999&gt;=8)*('DATA INPUT'!$M$3:$M$8999&lt;9)*'DATA INPUT'!$L$3:$L$8999),0)</f>
        <v>-0.57090909090909081</v>
      </c>
      <c r="AD9" s="61" cm="1">
        <f t="array" ref="AD9">IFERROR(SUMPRODUCT(('DATA INPUT'!$M$3:$M$8999&gt;=9)*('DATA INPUT'!$M$3:$M$8999&lt;10)*'DATA INPUT'!$U$3:$U$8999)/SUMPRODUCT(('DATA INPUT'!$M$3:$M$8999&gt;=9)*('DATA INPUT'!$M$3:$M$8999&lt;10)*'DATA INPUT'!$L$3:$L$8999),0)</f>
        <v>-0.55993904761904767</v>
      </c>
      <c r="AE9" s="61" cm="1">
        <f t="array" ref="AE9">IFERROR(SUMPRODUCT(('DATA INPUT'!$M$3:$M$8999&gt;=10)*('DATA INPUT'!$M$3:$M$8999&lt;20)*'DATA INPUT'!$U$3:$U$8999)/SUMPRODUCT(('DATA INPUT'!$M$3:$M$8999&gt;=10)*('DATA INPUT'!$M$3:$M$8999&lt;20)*'DATA INPUT'!$L$3:$L$8999),0)</f>
        <v>0.28953020134228191</v>
      </c>
      <c r="AF9" s="61" cm="1">
        <f t="array" ref="AF9">IFERROR(SUMPRODUCT(('DATA INPUT'!$M$3:$M$8999&gt;=20)*('DATA INPUT'!$M$3:$M$8999&lt;30)*'DATA INPUT'!$U$3:$U$8999)/SUMPRODUCT(('DATA INPUT'!$M$3:$M$8999&gt;=20)*('DATA INPUT'!$M$3:$M$8999&lt;30)*'DATA INPUT'!$L$3:$L$8999),0)</f>
        <v>-5.3823376623376593E-2</v>
      </c>
      <c r="AG9" s="61" cm="1">
        <f t="array" ref="AG9">IFERROR(SUMPRODUCT(('DATA INPUT'!$M$3:$M$8999&gt;=30)*('DATA INPUT'!$M$3:$M$8999&lt;40)*'DATA INPUT'!$U$3:$U$8999)/SUMPRODUCT(('DATA INPUT'!$M$3:$M$8999&gt;=30)*('DATA INPUT'!$M$3:$M$8999&lt;40)*'DATA INPUT'!$L$3:$L$8999),0)</f>
        <v>-1</v>
      </c>
      <c r="AH9" s="61" cm="1">
        <f t="array" ref="AH9">IFERROR(SUMPRODUCT(('DATA INPUT'!$M$3:$M$8999&gt;=40)*('DATA INPUT'!$M$3:$M$8999&lt;50)*'DATA INPUT'!$U$3:$U$8999)/SUMPRODUCT(('DATA INPUT'!$M$3:$M$8999&gt;=40)*('DATA INPUT'!$M$3:$M$8999&lt;50)*'DATA INPUT'!$L$3:$L$8999),0)</f>
        <v>0</v>
      </c>
      <c r="AI9" s="61" cm="1">
        <f t="array" ref="AI9">IFERROR(SUMPRODUCT(('DATA INPUT'!$M$3:$M$8999&gt;=50)*'DATA INPUT'!$U$3:$U$8999)/SUMPRODUCT(('DATA INPUT'!$M$3:$M$8999&gt;=50)*'DATA INPUT'!$L$3:$L$8999),0)</f>
        <v>0</v>
      </c>
    </row>
    <row r="10" spans="1:35" x14ac:dyDescent="0.2">
      <c r="A10" s="52" t="s">
        <v>87</v>
      </c>
      <c r="B10" s="75"/>
      <c r="C10" s="75"/>
      <c r="D10" s="75"/>
      <c r="E10" s="76"/>
      <c r="F10" s="53" t="s">
        <v>87</v>
      </c>
      <c r="G10" s="49"/>
      <c r="H10" s="49"/>
      <c r="I10" s="49"/>
      <c r="J10" s="49"/>
      <c r="K10" s="49"/>
      <c r="L10" s="49"/>
      <c r="M10" s="49"/>
      <c r="N10" s="49"/>
      <c r="O10" s="49"/>
      <c r="P10" s="49"/>
      <c r="Q10" s="49"/>
      <c r="R10" s="49"/>
      <c r="S10" s="49"/>
      <c r="T10" s="49"/>
      <c r="U10" s="53" t="s">
        <v>87</v>
      </c>
      <c r="V10" s="50"/>
      <c r="W10" s="50"/>
      <c r="X10" s="50"/>
      <c r="Y10" s="50"/>
      <c r="Z10" s="50"/>
      <c r="AA10" s="50"/>
      <c r="AB10" s="50"/>
      <c r="AC10" s="50"/>
      <c r="AD10" s="50"/>
      <c r="AE10" s="50"/>
      <c r="AF10" s="55"/>
      <c r="AG10" s="55"/>
      <c r="AH10" s="55"/>
      <c r="AI10" s="55"/>
    </row>
    <row r="11" spans="1:35" x14ac:dyDescent="0.2">
      <c r="A11" s="51" t="s">
        <v>63</v>
      </c>
      <c r="B11" s="51" t="s">
        <v>69</v>
      </c>
      <c r="C11" s="51" t="s">
        <v>100</v>
      </c>
      <c r="D11" s="51" t="s">
        <v>101</v>
      </c>
      <c r="E11" s="51" t="s">
        <v>25</v>
      </c>
      <c r="F11" s="51" t="s">
        <v>62</v>
      </c>
      <c r="G11" s="51" t="s">
        <v>71</v>
      </c>
      <c r="H11" s="51" t="s">
        <v>72</v>
      </c>
      <c r="I11" s="51" t="s">
        <v>73</v>
      </c>
      <c r="J11" s="51" t="s">
        <v>74</v>
      </c>
      <c r="K11" s="51" t="s">
        <v>75</v>
      </c>
      <c r="L11" s="51" t="s">
        <v>76</v>
      </c>
      <c r="M11" s="51" t="s">
        <v>77</v>
      </c>
      <c r="N11" s="51" t="s">
        <v>78</v>
      </c>
      <c r="O11" s="51" t="s">
        <v>79</v>
      </c>
      <c r="P11" s="51" t="s">
        <v>80</v>
      </c>
      <c r="Q11" s="51" t="s">
        <v>81</v>
      </c>
      <c r="R11" s="51" t="s">
        <v>82</v>
      </c>
      <c r="S11" s="51" t="s">
        <v>83</v>
      </c>
      <c r="T11" s="51" t="s">
        <v>84</v>
      </c>
      <c r="U11" s="51" t="s">
        <v>85</v>
      </c>
      <c r="V11" s="51" t="s">
        <v>71</v>
      </c>
      <c r="W11" s="51" t="s">
        <v>72</v>
      </c>
      <c r="X11" s="51" t="s">
        <v>73</v>
      </c>
      <c r="Y11" s="51" t="s">
        <v>74</v>
      </c>
      <c r="Z11" s="51" t="s">
        <v>75</v>
      </c>
      <c r="AA11" s="51" t="s">
        <v>76</v>
      </c>
      <c r="AB11" s="51" t="s">
        <v>77</v>
      </c>
      <c r="AC11" s="51" t="s">
        <v>78</v>
      </c>
      <c r="AD11" s="51" t="s">
        <v>79</v>
      </c>
      <c r="AE11" s="51" t="s">
        <v>80</v>
      </c>
      <c r="AF11" s="51" t="s">
        <v>81</v>
      </c>
      <c r="AG11" s="51" t="s">
        <v>82</v>
      </c>
      <c r="AH11" s="51" t="s">
        <v>83</v>
      </c>
      <c r="AI11" s="51" t="s">
        <v>84</v>
      </c>
    </row>
    <row r="12" spans="1:35" x14ac:dyDescent="0.2">
      <c r="A12" s="52" t="s">
        <v>87</v>
      </c>
      <c r="B12" s="75"/>
      <c r="C12" s="75"/>
      <c r="D12" s="75"/>
      <c r="E12" s="76"/>
      <c r="F12" s="53" t="s">
        <v>87</v>
      </c>
      <c r="G12" s="49"/>
      <c r="H12" s="49"/>
      <c r="I12" s="49"/>
      <c r="J12" s="49"/>
      <c r="K12" s="49"/>
      <c r="L12" s="49"/>
      <c r="M12" s="49"/>
      <c r="N12" s="49"/>
      <c r="O12" s="49"/>
      <c r="P12" s="49"/>
      <c r="Q12" s="49"/>
      <c r="R12" s="49"/>
      <c r="S12" s="49"/>
      <c r="T12" s="49"/>
      <c r="U12" s="53" t="s">
        <v>87</v>
      </c>
      <c r="V12" s="50"/>
      <c r="W12" s="50"/>
      <c r="X12" s="50"/>
      <c r="Y12" s="50"/>
      <c r="Z12" s="50"/>
      <c r="AA12" s="50"/>
      <c r="AB12" s="50"/>
      <c r="AC12" s="50"/>
      <c r="AD12" s="50"/>
      <c r="AE12" s="50"/>
      <c r="AF12" s="55"/>
      <c r="AG12" s="55"/>
      <c r="AH12" s="55"/>
      <c r="AI12" s="55"/>
    </row>
    <row r="13" spans="1:35" x14ac:dyDescent="0.2">
      <c r="A13" s="62">
        <v>0.5</v>
      </c>
      <c r="B13" s="75" cm="1">
        <f t="array" ref="B13">SUMPRODUCT(('DATA INPUT'!$L$3:$L$8999=$A13)*'DATA INPUT'!$L$3:$L$8999)</f>
        <v>147</v>
      </c>
      <c r="C13" s="75">
        <f>B13+D13</f>
        <v>149.10764</v>
      </c>
      <c r="D13" s="77" cm="1">
        <f t="array" ref="D13">SUMPRODUCT(('DATA INPUT'!$L$3:$L$8999=$A13)*'DATA INPUT'!$U$3:$U$8999)</f>
        <v>2.10764</v>
      </c>
      <c r="E13" s="78">
        <f>IFERROR(D13/B13,0)</f>
        <v>1.4337687074829932E-2</v>
      </c>
      <c r="F13" s="53" t="s">
        <v>87</v>
      </c>
      <c r="G13" s="63" cm="1">
        <f t="array" ref="G13">SUMPRODUCT(('DATA INPUT'!$L$3:$L$8999=$A13)*('DATA INPUT'!$M$3:$M$8999&gt;=1)*('DATA INPUT'!$M$3:$M$8999&lt;2)*'DATA INPUT'!$U$3:$U$8999)</f>
        <v>0</v>
      </c>
      <c r="H13" s="64" cm="1">
        <f t="array" ref="H13">SUMPRODUCT(('DATA INPUT'!$L$3:$L$8999=$A13)*('DATA INPUT'!$M$3:$M$8999&gt;=2)*('DATA INPUT'!$M$3:$M$8999&lt;3)*'DATA INPUT'!$U$3:$U$8999)</f>
        <v>0</v>
      </c>
      <c r="I13" s="63" cm="1">
        <f t="array" ref="I13">SUMPRODUCT(('DATA INPUT'!$L$3:$L$8999=$A13)*('DATA INPUT'!$M$3:$M$8999&gt;=3)*('DATA INPUT'!$M$3:$M$8999&lt;4)*'DATA INPUT'!$U$3:$U$8999)</f>
        <v>0</v>
      </c>
      <c r="J13" s="64" cm="1">
        <f t="array" ref="J13">SUMPRODUCT(('DATA INPUT'!$L$3:$L$8999=$A13)*('DATA INPUT'!$M$3:$M$8999&gt;=4)*('DATA INPUT'!$M$3:$M$8999&lt;5)*'DATA INPUT'!$U$3:$U$8999)</f>
        <v>0</v>
      </c>
      <c r="K13" s="64" cm="1">
        <f t="array" ref="K13">SUMPRODUCT(('DATA INPUT'!$L$3:$L$8999=$A13)*('DATA INPUT'!$M$3:$M$8999&gt;=5)*('DATA INPUT'!$M$3:$M$8999&lt;6)*'DATA INPUT'!$U$3:$U$8999)</f>
        <v>0</v>
      </c>
      <c r="L13" s="63" cm="1">
        <f t="array" ref="L13">SUMPRODUCT(('DATA INPUT'!$L$3:$L$8999=$A13)*('DATA INPUT'!$M$3:$M$8999&gt;=6)*('DATA INPUT'!$M$3:$M$8999&lt;7)*'DATA INPUT'!$U$3:$U$8999)</f>
        <v>-5.8799999999999741E-2</v>
      </c>
      <c r="M13" s="63" cm="1">
        <f t="array" ref="M13">SUMPRODUCT(('DATA INPUT'!$L$3:$L$8999=$A13)*('DATA INPUT'!$M$3:$M$8999&gt;=7)*('DATA INPUT'!$M$3:$M$8999&lt;8)*'DATA INPUT'!$U$3:$U$8999)</f>
        <v>1.8279999999999998</v>
      </c>
      <c r="N13" s="64" cm="1">
        <f t="array" ref="N13">SUMPRODUCT(('DATA INPUT'!$L$3:$L$8999=$A13)*('DATA INPUT'!$M$3:$M$8999&gt;=8)*('DATA INPUT'!$M$3:$M$8999&lt;9)*'DATA INPUT'!$U$3:$U$8999)</f>
        <v>-6.2799999999999994</v>
      </c>
      <c r="O13" s="64" cm="1">
        <f t="array" ref="O13">SUMPRODUCT(('DATA INPUT'!$L$3:$L$8999=$A13)*('DATA INPUT'!$M$3:$M$8999&gt;=9)*('DATA INPUT'!$M$3:$M$8999&lt;10)*'DATA INPUT'!$U$3:$U$8999)</f>
        <v>-5.8793600000000001</v>
      </c>
      <c r="P13" s="63" cm="1">
        <f t="array" ref="P13">SUMPRODUCT(('DATA INPUT'!$L$3:$L$8999=$A13)*('DATA INPUT'!$M$3:$M$8999&gt;=10)*('DATA INPUT'!$M$3:$M$8999&lt;20)*'DATA INPUT'!$U$3:$U$8999)</f>
        <v>21.570000000000004</v>
      </c>
      <c r="Q13" s="63" cm="1">
        <f t="array" ref="Q13">SUMPRODUCT(('DATA INPUT'!$L$3:$L$8999=$A13)*('DATA INPUT'!$M$3:$M$8999&gt;=20)*('DATA INPUT'!$M$3:$M$8999&lt;30)*'DATA INPUT'!$U$3:$U$8999)</f>
        <v>-2.0721999999999987</v>
      </c>
      <c r="R13" s="64" cm="1">
        <f t="array" ref="R13">SUMPRODUCT(('DATA INPUT'!$L$3:$L$8999=$A13)*('DATA INPUT'!$M$3:$M$8999&gt;=30)*('DATA INPUT'!$M$3:$M$8999&lt;40)*'DATA INPUT'!$U$3:$U$8999)</f>
        <v>-7</v>
      </c>
      <c r="S13" s="64" cm="1">
        <f t="array" ref="S13">SUMPRODUCT(('DATA INPUT'!$L$3:$L$8999=$A13)*('DATA INPUT'!$M$3:$M$8999&gt;=40)*('DATA INPUT'!$M$3:$M$8999&lt;50)*'DATA INPUT'!$U$3:$U$8999)</f>
        <v>0</v>
      </c>
      <c r="T13" s="63" cm="1">
        <f t="array" ref="T13">SUMPRODUCT(('DATA INPUT'!$L$3:$L$8999=$A13)*('DATA INPUT'!$M$3:$M$8999&gt;=50)*'DATA INPUT'!$U$3:$U$8999)</f>
        <v>0</v>
      </c>
      <c r="U13" s="53" t="s">
        <v>87</v>
      </c>
      <c r="V13" s="68" cm="1">
        <f t="array" ref="V13">IFERROR(SUMPRODUCT(('DATA INPUT'!$L$3:$L$8999=$A13)*('DATA INPUT'!$M$3:$M$8999&gt;=1)*('DATA INPUT'!$M$3:$M$8999&lt;2)*'DATA INPUT'!$U$3:$U$8999)/SUMPRODUCT(('DATA INPUT'!$L$3:$L$8999=$A13)*('DATA INPUT'!$M$3:$M$8999&gt;=1)*('DATA INPUT'!$M$3:$M$8999&lt;2)*'DATA INPUT'!$L$3:$L$8999),0)</f>
        <v>0</v>
      </c>
      <c r="W13" s="69" cm="1">
        <f t="array" ref="W13">IFERROR(SUMPRODUCT(('DATA INPUT'!$L$3:$L$8999=$A13)*('DATA INPUT'!$M$3:$M$8999&gt;=2)*('DATA INPUT'!$M$3:$M$8999&lt;3)*'DATA INPUT'!$U$3:$U$8999)/SUMPRODUCT(('DATA INPUT'!$L$3:$L$8999=$A13)*('DATA INPUT'!$M$3:$M$8999&gt;=2)*('DATA INPUT'!$M$3:$M$8999&lt;3)*'DATA INPUT'!$L$3:$L$8999),0)</f>
        <v>0</v>
      </c>
      <c r="X13" s="68" cm="1">
        <f t="array" ref="X13">IFERROR(SUMPRODUCT(('DATA INPUT'!$L$3:$L$8999=$A13)*('DATA INPUT'!$M$3:$M$8999&gt;=3)*('DATA INPUT'!$M$3:$M$8999&lt;4)*'DATA INPUT'!$U$3:$U$8999)/SUMPRODUCT(('DATA INPUT'!$L$3:$L$8999=$A13)*('DATA INPUT'!$M$3:$M$8999&gt;=3)*('DATA INPUT'!$M$3:$M$8999&lt;4)*'DATA INPUT'!$L$3:$L$8999),0)</f>
        <v>0</v>
      </c>
      <c r="Y13" s="69" cm="1">
        <f t="array" ref="Y13">IFERROR(SUMPRODUCT(('DATA INPUT'!$L$3:$L$8999=$A13)*('DATA INPUT'!$M$3:$M$8999&gt;=4)*('DATA INPUT'!$M$3:$M$8999&lt;5)*'DATA INPUT'!$U$3:$U$8999)/SUMPRODUCT(('DATA INPUT'!$L$3:$L$8999=$A13)*('DATA INPUT'!$M$3:$M$8999&gt;=4)*('DATA INPUT'!$M$3:$M$8999&lt;5)*'DATA INPUT'!$L$3:$L$8999),0)</f>
        <v>0</v>
      </c>
      <c r="Z13" s="69" cm="1">
        <f t="array" ref="Z13">IFERROR(SUMPRODUCT(('DATA INPUT'!$L$3:$L$8999=$A13)*('DATA INPUT'!$M$3:$M$8999&gt;=5)*('DATA INPUT'!$M$3:$M$8999&lt;6)*'DATA INPUT'!$U$3:$U$8999)/SUMPRODUCT(('DATA INPUT'!$L$3:$L$8999=$A13)*('DATA INPUT'!$M$3:$M$8999&gt;=5)*('DATA INPUT'!$M$3:$M$8999&lt;6)*'DATA INPUT'!$L$3:$L$8999),0)</f>
        <v>0</v>
      </c>
      <c r="AA13" s="68" cm="1">
        <f t="array" ref="AA13">IFERROR(SUMPRODUCT(('DATA INPUT'!$L$3:$L$8999=$A13)*('DATA INPUT'!$M$3:$M$8999&gt;=6)*('DATA INPUT'!$M$3:$M$8999&lt;7)*'DATA INPUT'!$U$3:$U$8999)/SUMPRODUCT(('DATA INPUT'!$L$3:$L$8999=$A13)*('DATA INPUT'!$M$3:$M$8999&gt;=6)*('DATA INPUT'!$M$3:$M$8999&lt;7)*'DATA INPUT'!$L$3:$L$8999),0)</f>
        <v>-1.6799999999999926E-2</v>
      </c>
      <c r="AB13" s="68" cm="1">
        <f t="array" ref="AB13">IFERROR(SUMPRODUCT(('DATA INPUT'!$L$3:$L$8999=$A13)*('DATA INPUT'!$M$3:$M$8999&gt;=7)*('DATA INPUT'!$M$3:$M$8999&lt;8)*'DATA INPUT'!$U$3:$U$8999)/SUMPRODUCT(('DATA INPUT'!$L$3:$L$8999=$A13)*('DATA INPUT'!$M$3:$M$8999&gt;=7)*('DATA INPUT'!$M$3:$M$8999&lt;8)*'DATA INPUT'!$L$3:$L$8999),0)</f>
        <v>0.91399999999999992</v>
      </c>
      <c r="AC13" s="69" cm="1">
        <f t="array" ref="AC13">IFERROR(SUMPRODUCT(('DATA INPUT'!$L$3:$L$8999=$A13)*('DATA INPUT'!$M$3:$M$8999&gt;=8)*('DATA INPUT'!$M$3:$M$8999&lt;9)*'DATA INPUT'!$U$3:$U$8999)/SUMPRODUCT(('DATA INPUT'!$L$3:$L$8999=$A13)*('DATA INPUT'!$M$3:$M$8999&gt;=8)*('DATA INPUT'!$M$3:$M$8999&lt;9)*'DATA INPUT'!$L$3:$L$8999),0)</f>
        <v>-0.57090909090909081</v>
      </c>
      <c r="AD13" s="69" cm="1">
        <f t="array" ref="AD13">IFERROR(SUMPRODUCT(('DATA INPUT'!$L$3:$L$8999=$A13)*('DATA INPUT'!$M$3:$M$8999&gt;=9)*('DATA INPUT'!$M$3:$M$8999&lt;10)*'DATA INPUT'!$U$3:$U$8999)/SUMPRODUCT(('DATA INPUT'!$L$3:$L$8999=$A13)*('DATA INPUT'!$M$3:$M$8999&gt;=9)*('DATA INPUT'!$M$3:$M$8999&lt;10)*'DATA INPUT'!$L$3:$L$8999),0)</f>
        <v>-0.55993904761904767</v>
      </c>
      <c r="AE13" s="68" cm="1">
        <f t="array" ref="AE13">IFERROR(SUMPRODUCT(('DATA INPUT'!$L$3:$L$8999=$A13)*('DATA INPUT'!$M$3:$M$8999&gt;=10)*('DATA INPUT'!$M$3:$M$8999&lt;20)*'DATA INPUT'!$U$3:$U$8999)/SUMPRODUCT(('DATA INPUT'!$L$3:$L$8999=$A13)*('DATA INPUT'!$M$3:$M$8999&gt;=10)*('DATA INPUT'!$M$3:$M$8999&lt;20)*'DATA INPUT'!$L$3:$L$8999),0)</f>
        <v>0.28953020134228191</v>
      </c>
      <c r="AF13" s="70" cm="1">
        <f t="array" ref="AF13">IFERROR(SUMPRODUCT(('DATA INPUT'!$L$3:$L$8999=$A13)*('DATA INPUT'!$M$3:$M$8999&gt;=20)*('DATA INPUT'!$M$3:$M$8999&lt;30)*'DATA INPUT'!$U$3:$U$8999)/SUMPRODUCT(('DATA INPUT'!$L$3:$L$8999=$A13)*('DATA INPUT'!$M$3:$M$8999&gt;=20)*('DATA INPUT'!$M$3:$M$8999&lt;30)*'DATA INPUT'!$L$3:$L$8999),0)</f>
        <v>-5.3823376623376593E-2</v>
      </c>
      <c r="AG13" s="71" cm="1">
        <f t="array" ref="AG13">IFERROR(SUMPRODUCT(('DATA INPUT'!$L$3:$L$8999=$A13)*('DATA INPUT'!$M$3:$M$8999&gt;=30)*('DATA INPUT'!$M$3:$M$8999&lt;40)*'DATA INPUT'!$U$3:$U$8999)/SUMPRODUCT(('DATA INPUT'!$L$3:$L$8999=$A13)*('DATA INPUT'!$M$3:$M$8999&gt;=30)*('DATA INPUT'!$M$3:$M$8999&lt;40)*'DATA INPUT'!$L$3:$L$8999),0)</f>
        <v>-1</v>
      </c>
      <c r="AH13" s="71" cm="1">
        <f t="array" ref="AH13">IFERROR(SUMPRODUCT(('DATA INPUT'!$L$3:$L$8999=$A13)*('DATA INPUT'!$M$3:$M$8999&gt;=40)*('DATA INPUT'!$M$3:$M$8999&lt;50)*'DATA INPUT'!$U$3:$U$8999)/SUMPRODUCT(('DATA INPUT'!$L$3:$L$8999=$A13)*('DATA INPUT'!$M$3:$M$8999&gt;=40)*('DATA INPUT'!$M$3:$M$8999&lt;50)*'DATA INPUT'!$L$3:$L$8999),0)</f>
        <v>0</v>
      </c>
      <c r="AI13" s="70" cm="1">
        <f t="array" ref="AI13">IFERROR(SUMPRODUCT(('DATA INPUT'!$L$3:$L$8999=$A13)*('DATA INPUT'!$M$3:$M$8999&gt;=50)*'DATA INPUT'!$U$3:$U$8999)/SUMPRODUCT(('DATA INPUT'!$L$3:$L$8999=$A13)*('DATA INPUT'!$M$3:$M$8999&gt;=50)*'DATA INPUT'!$L$3:$L$8999),0)</f>
        <v>0</v>
      </c>
    </row>
    <row r="14" spans="1:35" x14ac:dyDescent="0.2">
      <c r="A14" s="62">
        <v>1</v>
      </c>
      <c r="B14" s="75" cm="1">
        <f t="array" ref="B14">SUMPRODUCT(('DATA INPUT'!$L$3:$L$8999=$A14)*'DATA INPUT'!$L$3:$L$8999)</f>
        <v>0</v>
      </c>
      <c r="C14" s="75">
        <f>B14+D14</f>
        <v>0</v>
      </c>
      <c r="D14" s="77" cm="1">
        <f t="array" ref="D14">SUMPRODUCT(('DATA INPUT'!$L$3:$L$8999=$A14)*'DATA INPUT'!$U$3:$U$8999)</f>
        <v>0</v>
      </c>
      <c r="E14" s="76">
        <f>IFERROR(D14/B14,0)</f>
        <v>0</v>
      </c>
      <c r="F14" s="53" t="s">
        <v>87</v>
      </c>
      <c r="G14" s="64" cm="1">
        <f t="array" ref="G14">SUMPRODUCT(('DATA INPUT'!$L$3:$L$8999=$A14)*('DATA INPUT'!$M$3:$M$8999&gt;=1)*('DATA INPUT'!$M$3:$M$8999&lt;2)*'DATA INPUT'!$U$3:$U$8999)</f>
        <v>0</v>
      </c>
      <c r="H14" s="63" cm="1">
        <f t="array" ref="H14">SUMPRODUCT(('DATA INPUT'!$L$3:$L$8999=$A14)*('DATA INPUT'!$M$3:$M$8999&gt;=2)*('DATA INPUT'!$M$3:$M$8999&lt;3)*'DATA INPUT'!$U$3:$U$8999)</f>
        <v>0</v>
      </c>
      <c r="I14" s="63" cm="1">
        <f t="array" ref="I14">SUMPRODUCT(('DATA INPUT'!$L$3:$L$8999=$A14)*('DATA INPUT'!$M$3:$M$8999&gt;=3)*('DATA INPUT'!$M$3:$M$8999&lt;4)*'DATA INPUT'!$U$3:$U$8999)</f>
        <v>0</v>
      </c>
      <c r="J14" s="63" cm="1">
        <f t="array" ref="J14">SUMPRODUCT(('DATA INPUT'!$L$3:$L$8999=$A14)*('DATA INPUT'!$M$3:$M$8999&gt;=4)*('DATA INPUT'!$M$3:$M$8999&lt;5)*'DATA INPUT'!$U$3:$U$8999)</f>
        <v>0</v>
      </c>
      <c r="K14" s="63" cm="1">
        <f t="array" ref="K14">SUMPRODUCT(('DATA INPUT'!$L$3:$L$8999=$A14)*('DATA INPUT'!$M$3:$M$8999&gt;=5)*('DATA INPUT'!$M$3:$M$8999&lt;6)*'DATA INPUT'!$U$3:$U$8999)</f>
        <v>0</v>
      </c>
      <c r="L14" s="64" cm="1">
        <f t="array" ref="L14">SUMPRODUCT(('DATA INPUT'!$L$3:$L$8999=$A14)*('DATA INPUT'!$M$3:$M$8999&gt;=6)*('DATA INPUT'!$M$3:$M$8999&lt;7)*'DATA INPUT'!$U$3:$U$8999)</f>
        <v>0</v>
      </c>
      <c r="M14" s="64" cm="1">
        <f t="array" ref="M14">SUMPRODUCT(('DATA INPUT'!$L$3:$L$8999=$A14)*('DATA INPUT'!$M$3:$M$8999&gt;=7)*('DATA INPUT'!$M$3:$M$8999&lt;8)*'DATA INPUT'!$U$3:$U$8999)</f>
        <v>0</v>
      </c>
      <c r="N14" s="63" cm="1">
        <f t="array" ref="N14">SUMPRODUCT(('DATA INPUT'!$L$3:$L$8999=$A14)*('DATA INPUT'!$M$3:$M$8999&gt;=8)*('DATA INPUT'!$M$3:$M$8999&lt;9)*'DATA INPUT'!$U$3:$U$8999)</f>
        <v>0</v>
      </c>
      <c r="O14" s="63" cm="1">
        <f t="array" ref="O14">SUMPRODUCT(('DATA INPUT'!$L$3:$L$8999=$A14)*('DATA INPUT'!$M$3:$M$8999&gt;=9)*('DATA INPUT'!$M$3:$M$8999&lt;10)*'DATA INPUT'!$U$3:$U$8999)</f>
        <v>0</v>
      </c>
      <c r="P14" s="65" cm="1">
        <f t="array" ref="P14">SUMPRODUCT(('DATA INPUT'!$L$3:$L$8999=$A14)*('DATA INPUT'!$M$3:$M$8999&gt;=10)*('DATA INPUT'!$M$3:$M$8999&lt;20)*'DATA INPUT'!$U$3:$U$8999)</f>
        <v>0</v>
      </c>
      <c r="Q14" s="64" cm="1">
        <f t="array" ref="Q14">SUMPRODUCT(('DATA INPUT'!$L$3:$L$8999=$A14)*('DATA INPUT'!$M$3:$M$8999&gt;=20)*('DATA INPUT'!$M$3:$M$8999&lt;30)*'DATA INPUT'!$U$3:$U$8999)</f>
        <v>0</v>
      </c>
      <c r="R14" s="63" cm="1">
        <f t="array" ref="R14">SUMPRODUCT(('DATA INPUT'!$L$3:$L$8999=$A14)*('DATA INPUT'!$M$3:$M$8999&gt;=30)*('DATA INPUT'!$M$3:$M$8999&lt;40)*'DATA INPUT'!$U$3:$U$8999)</f>
        <v>0</v>
      </c>
      <c r="S14" s="65" cm="1">
        <f t="array" ref="S14">SUMPRODUCT(('DATA INPUT'!$L$3:$L$8999=$A14)*('DATA INPUT'!$M$3:$M$8999&gt;=40)*('DATA INPUT'!$M$3:$M$8999&lt;50)*'DATA INPUT'!$U$3:$U$8999)</f>
        <v>0</v>
      </c>
      <c r="T14" s="63" cm="1">
        <f t="array" ref="T14">SUMPRODUCT(('DATA INPUT'!$L$3:$L$8999=$A14)*('DATA INPUT'!$M$3:$M$8999&gt;=50)*'DATA INPUT'!$U$3:$U$8999)</f>
        <v>0</v>
      </c>
      <c r="U14" s="53" t="s">
        <v>87</v>
      </c>
      <c r="V14" s="69" cm="1">
        <f t="array" ref="V14">IFERROR(SUMPRODUCT(('DATA INPUT'!$L$3:$L$8999=$A14)*('DATA INPUT'!$M$3:$M$8999&gt;=1)*('DATA INPUT'!$M$3:$M$8999&lt;2)*'DATA INPUT'!$U$3:$U$8999)/SUMPRODUCT(('DATA INPUT'!$L$3:$L$8999=$A14)*('DATA INPUT'!$M$3:$M$8999&gt;=1)*('DATA INPUT'!$M$3:$M$8999&lt;2)*'DATA INPUT'!$L$3:$L$8999),0)</f>
        <v>0</v>
      </c>
      <c r="W14" s="68" cm="1">
        <f t="array" ref="W14">IFERROR(SUMPRODUCT(('DATA INPUT'!$L$3:$L$8999=$A14)*('DATA INPUT'!$M$3:$M$8999&gt;=2)*('DATA INPUT'!$M$3:$M$8999&lt;3)*'DATA INPUT'!$U$3:$U$8999)/SUMPRODUCT(('DATA INPUT'!$L$3:$L$8999=$A14)*('DATA INPUT'!$M$3:$M$8999&gt;=2)*('DATA INPUT'!$M$3:$M$8999&lt;3)*'DATA INPUT'!$L$3:$L$8999),0)</f>
        <v>0</v>
      </c>
      <c r="X14" s="68" cm="1">
        <f t="array" ref="X14">IFERROR(SUMPRODUCT(('DATA INPUT'!$L$3:$L$8999=$A14)*('DATA INPUT'!$M$3:$M$8999&gt;=3)*('DATA INPUT'!$M$3:$M$8999&lt;4)*'DATA INPUT'!$U$3:$U$8999)/SUMPRODUCT(('DATA INPUT'!$L$3:$L$8999=$A14)*('DATA INPUT'!$M$3:$M$8999&gt;=3)*('DATA INPUT'!$M$3:$M$8999&lt;4)*'DATA INPUT'!$L$3:$L$8999),0)</f>
        <v>0</v>
      </c>
      <c r="Y14" s="68" cm="1">
        <f t="array" ref="Y14">IFERROR(SUMPRODUCT(('DATA INPUT'!$L$3:$L$8999=$A14)*('DATA INPUT'!$M$3:$M$8999&gt;=4)*('DATA INPUT'!$M$3:$M$8999&lt;5)*'DATA INPUT'!$U$3:$U$8999)/SUMPRODUCT(('DATA INPUT'!$L$3:$L$8999=$A14)*('DATA INPUT'!$M$3:$M$8999&gt;=4)*('DATA INPUT'!$M$3:$M$8999&lt;5)*'DATA INPUT'!$L$3:$L$8999),0)</f>
        <v>0</v>
      </c>
      <c r="Z14" s="68" cm="1">
        <f t="array" ref="Z14">IFERROR(SUMPRODUCT(('DATA INPUT'!$L$3:$L$8999=$A14)*('DATA INPUT'!$M$3:$M$8999&gt;=5)*('DATA INPUT'!$M$3:$M$8999&lt;6)*'DATA INPUT'!$U$3:$U$8999)/SUMPRODUCT(('DATA INPUT'!$L$3:$L$8999=$A14)*('DATA INPUT'!$M$3:$M$8999&gt;=5)*('DATA INPUT'!$M$3:$M$8999&lt;6)*'DATA INPUT'!$L$3:$L$8999),0)</f>
        <v>0</v>
      </c>
      <c r="AA14" s="69" cm="1">
        <f t="array" ref="AA14">IFERROR(SUMPRODUCT(('DATA INPUT'!$L$3:$L$8999=$A14)*('DATA INPUT'!$M$3:$M$8999&gt;=6)*('DATA INPUT'!$M$3:$M$8999&lt;7)*'DATA INPUT'!$U$3:$U$8999)/SUMPRODUCT(('DATA INPUT'!$L$3:$L$8999=$A14)*('DATA INPUT'!$M$3:$M$8999&gt;=6)*('DATA INPUT'!$M$3:$M$8999&lt;7)*'DATA INPUT'!$L$3:$L$8999),0)</f>
        <v>0</v>
      </c>
      <c r="AB14" s="69" cm="1">
        <f t="array" ref="AB14">IFERROR(SUMPRODUCT(('DATA INPUT'!$L$3:$L$8999=$A14)*('DATA INPUT'!$M$3:$M$8999&gt;=7)*('DATA INPUT'!$M$3:$M$8999&lt;8)*'DATA INPUT'!$U$3:$U$8999)/SUMPRODUCT(('DATA INPUT'!$L$3:$L$8999=$A14)*('DATA INPUT'!$M$3:$M$8999&gt;=7)*('DATA INPUT'!$M$3:$M$8999&lt;8)*'DATA INPUT'!$L$3:$L$8999),0)</f>
        <v>0</v>
      </c>
      <c r="AC14" s="68" cm="1">
        <f t="array" ref="AC14">IFERROR(SUMPRODUCT(('DATA INPUT'!$L$3:$L$8999=$A14)*('DATA INPUT'!$M$3:$M$8999&gt;=8)*('DATA INPUT'!$M$3:$M$8999&lt;9)*'DATA INPUT'!$U$3:$U$8999)/SUMPRODUCT(('DATA INPUT'!$L$3:$L$8999=$A14)*('DATA INPUT'!$M$3:$M$8999&gt;=8)*('DATA INPUT'!$M$3:$M$8999&lt;9)*'DATA INPUT'!$L$3:$L$8999),0)</f>
        <v>0</v>
      </c>
      <c r="AD14" s="68" cm="1">
        <f t="array" ref="AD14">IFERROR(SUMPRODUCT(('DATA INPUT'!$L$3:$L$8999=$A14)*('DATA INPUT'!$M$3:$M$8999&gt;=9)*('DATA INPUT'!$M$3:$M$8999&lt;10)*'DATA INPUT'!$U$3:$U$8999)/SUMPRODUCT(('DATA INPUT'!$L$3:$L$8999=$A14)*('DATA INPUT'!$M$3:$M$8999&gt;=9)*('DATA INPUT'!$M$3:$M$8999&lt;10)*'DATA INPUT'!$L$3:$L$8999),0)</f>
        <v>0</v>
      </c>
      <c r="AE14" s="68" cm="1">
        <f t="array" ref="AE14">IFERROR(SUMPRODUCT(('DATA INPUT'!$L$3:$L$8999=$A14)*('DATA INPUT'!$M$3:$M$8999&gt;=10)*('DATA INPUT'!$M$3:$M$8999&lt;20)*'DATA INPUT'!$U$3:$U$8999)/SUMPRODUCT(('DATA INPUT'!$L$3:$L$8999=$A14)*('DATA INPUT'!$M$3:$M$8999&gt;=10)*('DATA INPUT'!$M$3:$M$8999&lt;20)*'DATA INPUT'!$L$3:$L$8999),0)</f>
        <v>0</v>
      </c>
      <c r="AF14" s="71" cm="1">
        <f t="array" ref="AF14">IFERROR(SUMPRODUCT(('DATA INPUT'!$L$3:$L$8999=$A14)*('DATA INPUT'!$M$3:$M$8999&gt;=20)*('DATA INPUT'!$M$3:$M$8999&lt;30)*'DATA INPUT'!$U$3:$U$8999)/SUMPRODUCT(('DATA INPUT'!$L$3:$L$8999=$A14)*('DATA INPUT'!$M$3:$M$8999&gt;=20)*('DATA INPUT'!$M$3:$M$8999&lt;30)*'DATA INPUT'!$L$3:$L$8999),0)</f>
        <v>0</v>
      </c>
      <c r="AG14" s="70" cm="1">
        <f t="array" ref="AG14">IFERROR(SUMPRODUCT(('DATA INPUT'!$L$3:$L$8999=$A14)*('DATA INPUT'!$M$3:$M$8999&gt;=30)*('DATA INPUT'!$M$3:$M$8999&lt;40)*'DATA INPUT'!$U$3:$U$8999)/SUMPRODUCT(('DATA INPUT'!$L$3:$L$8999=$A14)*('DATA INPUT'!$M$3:$M$8999&gt;=30)*('DATA INPUT'!$M$3:$M$8999&lt;40)*'DATA INPUT'!$L$3:$L$8999),0)</f>
        <v>0</v>
      </c>
      <c r="AH14" s="70" cm="1">
        <f t="array" ref="AH14">IFERROR(SUMPRODUCT(('DATA INPUT'!$L$3:$L$8999=$A14)*('DATA INPUT'!$M$3:$M$8999&gt;=40)*('DATA INPUT'!$M$3:$M$8999&lt;50)*'DATA INPUT'!$U$3:$U$8999)/SUMPRODUCT(('DATA INPUT'!$L$3:$L$8999=$A14)*('DATA INPUT'!$M$3:$M$8999&gt;=40)*('DATA INPUT'!$M$3:$M$8999&lt;50)*'DATA INPUT'!$L$3:$L$8999),0)</f>
        <v>0</v>
      </c>
      <c r="AI14" s="70" cm="1">
        <f t="array" ref="AI14">IFERROR(SUMPRODUCT(('DATA INPUT'!$L$3:$L$8999=$A14)*('DATA INPUT'!$M$3:$M$8999&gt;=50)*'DATA INPUT'!$U$3:$U$8999)/SUMPRODUCT(('DATA INPUT'!$L$3:$L$8999=$A14)*('DATA INPUT'!$M$3:$M$8999&gt;=50)*'DATA INPUT'!$L$3:$L$8999),0)</f>
        <v>0</v>
      </c>
    </row>
    <row r="15" spans="1:35" x14ac:dyDescent="0.2">
      <c r="A15" s="52" t="s">
        <v>87</v>
      </c>
      <c r="B15" s="75"/>
      <c r="C15" s="75"/>
      <c r="D15" s="75"/>
      <c r="E15" s="76"/>
      <c r="F15" s="53" t="s">
        <v>87</v>
      </c>
      <c r="G15" s="63"/>
      <c r="H15" s="63"/>
      <c r="I15" s="63"/>
      <c r="J15" s="63"/>
      <c r="K15" s="63"/>
      <c r="L15" s="63"/>
      <c r="M15" s="63"/>
      <c r="N15" s="63"/>
      <c r="O15" s="63"/>
      <c r="P15" s="63"/>
      <c r="Q15" s="63"/>
      <c r="R15" s="63"/>
      <c r="S15" s="63"/>
      <c r="T15" s="63"/>
      <c r="U15" s="53" t="s">
        <v>87</v>
      </c>
      <c r="V15" s="68"/>
      <c r="W15" s="68"/>
      <c r="X15" s="68"/>
      <c r="Y15" s="68"/>
      <c r="Z15" s="68"/>
      <c r="AA15" s="68"/>
      <c r="AB15" s="68"/>
      <c r="AC15" s="68"/>
      <c r="AD15" s="68"/>
      <c r="AE15" s="68"/>
      <c r="AF15" s="70"/>
      <c r="AG15" s="70"/>
      <c r="AH15" s="70"/>
      <c r="AI15" s="70"/>
    </row>
    <row r="16" spans="1:35" x14ac:dyDescent="0.2">
      <c r="A16" s="56" t="s">
        <v>70</v>
      </c>
      <c r="B16" s="79">
        <f>SUM(B13:B14)</f>
        <v>147</v>
      </c>
      <c r="C16" s="79">
        <f>SUM(C13:C14)</f>
        <v>149.10764</v>
      </c>
      <c r="D16" s="79">
        <f>SUM(D13:D14)</f>
        <v>2.10764</v>
      </c>
      <c r="E16" s="80">
        <f>IFERROR(D16/B16,0)</f>
        <v>1.4337687074829932E-2</v>
      </c>
      <c r="F16" s="57" t="s">
        <v>87</v>
      </c>
      <c r="G16" s="66">
        <f t="shared" ref="G16:T16" si="3">SUM(G13:G14)</f>
        <v>0</v>
      </c>
      <c r="H16" s="66">
        <f t="shared" si="3"/>
        <v>0</v>
      </c>
      <c r="I16" s="59">
        <f t="shared" si="3"/>
        <v>0</v>
      </c>
      <c r="J16" s="66">
        <f t="shared" si="3"/>
        <v>0</v>
      </c>
      <c r="K16" s="66">
        <f t="shared" si="3"/>
        <v>0</v>
      </c>
      <c r="L16" s="59">
        <f t="shared" si="3"/>
        <v>-5.8799999999999741E-2</v>
      </c>
      <c r="M16" s="59">
        <f t="shared" si="3"/>
        <v>1.8279999999999998</v>
      </c>
      <c r="N16" s="59">
        <f t="shared" si="3"/>
        <v>-6.2799999999999994</v>
      </c>
      <c r="O16" s="66">
        <f t="shared" si="3"/>
        <v>-5.8793600000000001</v>
      </c>
      <c r="P16" s="67">
        <f t="shared" si="3"/>
        <v>21.570000000000004</v>
      </c>
      <c r="Q16" s="66">
        <f t="shared" si="3"/>
        <v>-2.0721999999999987</v>
      </c>
      <c r="R16" s="66">
        <f t="shared" si="3"/>
        <v>-7</v>
      </c>
      <c r="S16" s="67">
        <f t="shared" si="3"/>
        <v>0</v>
      </c>
      <c r="T16" s="59">
        <f t="shared" si="3"/>
        <v>0</v>
      </c>
      <c r="U16" s="57" t="s">
        <v>87</v>
      </c>
      <c r="V16" s="72" cm="1">
        <f t="array" ref="V16">IFERROR(SUMPRODUCT(('DATA INPUT'!$M$3:$M$8999&gt;=1)*('DATA INPUT'!$M$3:$M$8999&lt;2)*'DATA INPUT'!$U$3:$U$8999)/SUMPRODUCT(('DATA INPUT'!$M$3:$M$8999&gt;=1)*('DATA INPUT'!$M$3:$M$8999&lt;2)*'DATA INPUT'!$L$3:$L$8999),0)</f>
        <v>0</v>
      </c>
      <c r="W16" s="61" cm="1">
        <f t="array" ref="W16">IFERROR(SUMPRODUCT(('DATA INPUT'!$M$3:$M$8999&gt;=2)*('DATA INPUT'!$M$3:$M$8999&lt;3)*'DATA INPUT'!$U$3:$U$8999)/SUMPRODUCT(('DATA INPUT'!$M$3:$M$8999&gt;=2)*('DATA INPUT'!$M$3:$M$8999&lt;3)*'DATA INPUT'!$L$3:$L$8999),0)</f>
        <v>0.64399999999999991</v>
      </c>
      <c r="X16" s="61" cm="1">
        <f t="array" ref="X16">IFERROR(SUMPRODUCT(('DATA INPUT'!$M$3:$M$8999&gt;=3)*('DATA INPUT'!$M$3:$M$8999&lt;4)*'DATA INPUT'!$U$3:$U$8999)/SUMPRODUCT(('DATA INPUT'!$M$3:$M$8999&gt;=3)*('DATA INPUT'!$M$3:$M$8999&lt;4)*'DATA INPUT'!$L$3:$L$8999),0)</f>
        <v>-1</v>
      </c>
      <c r="Y16" s="61" cm="1">
        <f t="array" ref="Y16">IFERROR(SUMPRODUCT(('DATA INPUT'!$M$3:$M$8999&gt;=4)*('DATA INPUT'!$M$3:$M$8999&lt;5)*'DATA INPUT'!$U$3:$U$8999)/SUMPRODUCT(('DATA INPUT'!$M$3:$M$8999&gt;=4)*('DATA INPUT'!$M$3:$M$8999&lt;5)*'DATA INPUT'!$L$3:$L$8999),0)</f>
        <v>0.47217142857142974</v>
      </c>
      <c r="Z16" s="61" cm="1">
        <f t="array" ref="Z16">IFERROR(SUMPRODUCT(('DATA INPUT'!$M$3:$M$8999&gt;=5)*('DATA INPUT'!$M$3:$M$8999&lt;6)*'DATA INPUT'!$U$3:$U$8999)/SUMPRODUCT(('DATA INPUT'!$M$3:$M$8999&gt;=5)*('DATA INPUT'!$M$3:$M$8999&lt;6)*'DATA INPUT'!$L$3:$L$8999),0)</f>
        <v>0.87333333333333329</v>
      </c>
      <c r="AA16" s="61" cm="1">
        <f t="array" ref="AA16">IFERROR(SUMPRODUCT(('DATA INPUT'!$M$3:$M$8999&gt;=6)*('DATA INPUT'!$M$3:$M$8999&lt;7)*'DATA INPUT'!$U$3:$U$8999)/SUMPRODUCT(('DATA INPUT'!$M$3:$M$8999&gt;=6)*('DATA INPUT'!$M$3:$M$8999&lt;7)*'DATA INPUT'!$L$3:$L$8999),0)</f>
        <v>-6.9945945945945873E-2</v>
      </c>
      <c r="AB16" s="61" cm="1">
        <f t="array" ref="AB16">IFERROR(SUMPRODUCT(('DATA INPUT'!$M$3:$M$8999&gt;=7)*('DATA INPUT'!$M$3:$M$8999&lt;8)*'DATA INPUT'!$U$3:$U$8999)/SUMPRODUCT(('DATA INPUT'!$M$3:$M$8999&gt;=7)*('DATA INPUT'!$M$3:$M$8999&lt;8)*'DATA INPUT'!$L$3:$L$8999),0)</f>
        <v>0.59499999999999986</v>
      </c>
      <c r="AC16" s="61" cm="1">
        <f t="array" ref="AC16">IFERROR(SUMPRODUCT(('DATA INPUT'!$M$3:$M$8999&gt;=8)*('DATA INPUT'!$M$3:$M$8999&lt;9)*'DATA INPUT'!$U$3:$U$8999)/SUMPRODUCT(('DATA INPUT'!$M$3:$M$8999&gt;=8)*('DATA INPUT'!$M$3:$M$8999&lt;9)*'DATA INPUT'!$L$3:$L$8999),0)</f>
        <v>-0.57090909090909081</v>
      </c>
      <c r="AD16" s="72" cm="1">
        <f t="array" ref="AD16">IFERROR(SUMPRODUCT(('DATA INPUT'!$M$3:$M$8999&gt;=9)*('DATA INPUT'!$M$3:$M$8999&lt;10)*'DATA INPUT'!$U$3:$U$8999)/SUMPRODUCT(('DATA INPUT'!$M$3:$M$8999&gt;=9)*('DATA INPUT'!$M$3:$M$8999&lt;10)*'DATA INPUT'!$L$3:$L$8999),0)</f>
        <v>-0.55993904761904767</v>
      </c>
      <c r="AE16" s="61" cm="1">
        <f t="array" ref="AE16">IFERROR(SUMPRODUCT(('DATA INPUT'!$M$3:$M$8999&gt;=10)*('DATA INPUT'!$M$3:$M$8999&lt;20)*'DATA INPUT'!$U$3:$U$8999)/SUMPRODUCT(('DATA INPUT'!$M$3:$M$8999&gt;=10)*('DATA INPUT'!$M$3:$M$8999&lt;20)*'DATA INPUT'!$L$3:$L$8999),0)</f>
        <v>0.28953020134228191</v>
      </c>
      <c r="AF16" s="73" cm="1">
        <f t="array" ref="AF16">IFERROR(SUMPRODUCT(('DATA INPUT'!$M$3:$M$8999&gt;=20)*('DATA INPUT'!$M$3:$M$8999&lt;30)*'DATA INPUT'!$U$3:$U$8999)/SUMPRODUCT(('DATA INPUT'!$M$3:$M$8999&gt;=20)*('DATA INPUT'!$M$3:$M$8999&lt;30)*'DATA INPUT'!$L$3:$L$8999),0)</f>
        <v>-5.3823376623376593E-2</v>
      </c>
      <c r="AG16" s="73" cm="1">
        <f t="array" ref="AG16">IFERROR(SUMPRODUCT(('DATA INPUT'!$M$3:$M$8999&gt;=30)*('DATA INPUT'!$M$3:$M$8999&lt;40)*'DATA INPUT'!$U$3:$U$8999)/SUMPRODUCT(('DATA INPUT'!$M$3:$M$8999&gt;=30)*('DATA INPUT'!$M$3:$M$8999&lt;40)*'DATA INPUT'!$L$3:$L$8999),0)</f>
        <v>-1</v>
      </c>
      <c r="AH16" s="74" cm="1">
        <f t="array" ref="AH16">IFERROR(SUMPRODUCT(('DATA INPUT'!$M$3:$M$8999&gt;=40)*('DATA INPUT'!$M$3:$M$8999&lt;50)*'DATA INPUT'!$U$3:$U$8999)/SUMPRODUCT(('DATA INPUT'!$M$3:$M$8999&gt;=40)*('DATA INPUT'!$M$3:$M$8999&lt;50)*'DATA INPUT'!$L$3:$L$8999),0)</f>
        <v>0</v>
      </c>
      <c r="AI16" s="74" cm="1">
        <f t="array" ref="AI16">IFERROR(SUMPRODUCT(('DATA INPUT'!$M$3:$M$8999&gt;=50)*'DATA INPUT'!$U$3:$U$8999)/SUMPRODUCT(('DATA INPUT'!$M$3:$M$8999&gt;=50)*'DATA INPUT'!$L$3:$L$8999),0)</f>
        <v>0</v>
      </c>
    </row>
    <row r="17" spans="1:35" x14ac:dyDescent="0.2">
      <c r="A17" s="52" t="s">
        <v>87</v>
      </c>
      <c r="B17" s="75"/>
      <c r="C17" s="75"/>
      <c r="D17" s="75"/>
      <c r="E17" s="76"/>
      <c r="F17" s="53" t="s">
        <v>87</v>
      </c>
      <c r="G17" s="49"/>
      <c r="H17" s="49"/>
      <c r="I17" s="49"/>
      <c r="J17" s="49"/>
      <c r="K17" s="49"/>
      <c r="L17" s="49"/>
      <c r="M17" s="49"/>
      <c r="N17" s="49"/>
      <c r="O17" s="49"/>
      <c r="P17" s="49"/>
      <c r="Q17" s="49"/>
      <c r="R17" s="49"/>
      <c r="S17" s="49"/>
      <c r="T17" s="49"/>
      <c r="U17" s="53" t="s">
        <v>87</v>
      </c>
      <c r="V17" s="50"/>
      <c r="W17" s="50"/>
      <c r="X17" s="50"/>
      <c r="Y17" s="50"/>
      <c r="Z17" s="50"/>
      <c r="AA17" s="50"/>
      <c r="AB17" s="50"/>
      <c r="AC17" s="50"/>
      <c r="AD17" s="50"/>
      <c r="AE17" s="50"/>
      <c r="AF17" s="55"/>
      <c r="AG17" s="55"/>
      <c r="AH17" s="55"/>
      <c r="AI17" s="55"/>
    </row>
    <row r="18" spans="1:35" x14ac:dyDescent="0.2">
      <c r="A18" s="51" t="s">
        <v>63</v>
      </c>
      <c r="B18" s="51" t="s">
        <v>69</v>
      </c>
      <c r="C18" s="51" t="s">
        <v>100</v>
      </c>
      <c r="D18" s="51" t="s">
        <v>101</v>
      </c>
      <c r="E18" s="51" t="s">
        <v>25</v>
      </c>
      <c r="F18" s="51" t="s">
        <v>17</v>
      </c>
      <c r="G18" s="51" t="s">
        <v>71</v>
      </c>
      <c r="H18" s="51" t="s">
        <v>72</v>
      </c>
      <c r="I18" s="51" t="s">
        <v>73</v>
      </c>
      <c r="J18" s="51" t="s">
        <v>74</v>
      </c>
      <c r="K18" s="51" t="s">
        <v>75</v>
      </c>
      <c r="L18" s="51" t="s">
        <v>76</v>
      </c>
      <c r="M18" s="51" t="s">
        <v>77</v>
      </c>
      <c r="N18" s="51" t="s">
        <v>78</v>
      </c>
      <c r="O18" s="51" t="s">
        <v>79</v>
      </c>
      <c r="P18" s="51" t="s">
        <v>80</v>
      </c>
      <c r="Q18" s="51" t="s">
        <v>81</v>
      </c>
      <c r="R18" s="51" t="s">
        <v>82</v>
      </c>
      <c r="S18" s="51" t="s">
        <v>83</v>
      </c>
      <c r="T18" s="51" t="s">
        <v>84</v>
      </c>
      <c r="U18" s="51" t="s">
        <v>86</v>
      </c>
      <c r="V18" s="51" t="s">
        <v>71</v>
      </c>
      <c r="W18" s="51" t="s">
        <v>72</v>
      </c>
      <c r="X18" s="51" t="s">
        <v>73</v>
      </c>
      <c r="Y18" s="51" t="s">
        <v>74</v>
      </c>
      <c r="Z18" s="51" t="s">
        <v>75</v>
      </c>
      <c r="AA18" s="51" t="s">
        <v>76</v>
      </c>
      <c r="AB18" s="51" t="s">
        <v>77</v>
      </c>
      <c r="AC18" s="51" t="s">
        <v>78</v>
      </c>
      <c r="AD18" s="51" t="s">
        <v>79</v>
      </c>
      <c r="AE18" s="51" t="s">
        <v>80</v>
      </c>
      <c r="AF18" s="51" t="s">
        <v>81</v>
      </c>
      <c r="AG18" s="51" t="s">
        <v>82</v>
      </c>
      <c r="AH18" s="51" t="s">
        <v>83</v>
      </c>
      <c r="AI18" s="51" t="s">
        <v>84</v>
      </c>
    </row>
    <row r="19" spans="1:35" x14ac:dyDescent="0.2">
      <c r="A19" s="52" t="s">
        <v>87</v>
      </c>
      <c r="B19" s="75"/>
      <c r="C19" s="75"/>
      <c r="D19" s="75"/>
      <c r="E19" s="76"/>
      <c r="F19" s="53" t="s">
        <v>87</v>
      </c>
      <c r="G19" s="49"/>
      <c r="H19" s="49"/>
      <c r="I19" s="49"/>
      <c r="J19" s="49"/>
      <c r="K19" s="49"/>
      <c r="L19" s="49"/>
      <c r="M19" s="49"/>
      <c r="N19" s="49"/>
      <c r="O19" s="49"/>
      <c r="P19" s="49"/>
      <c r="Q19" s="49"/>
      <c r="R19" s="49"/>
      <c r="S19" s="49"/>
      <c r="T19" s="49"/>
      <c r="U19" s="53" t="s">
        <v>87</v>
      </c>
      <c r="V19" s="50"/>
      <c r="W19" s="50"/>
      <c r="X19" s="50"/>
      <c r="Y19" s="50"/>
      <c r="Z19" s="50"/>
      <c r="AA19" s="50"/>
      <c r="AB19" s="50"/>
      <c r="AC19" s="50"/>
      <c r="AD19" s="50"/>
      <c r="AE19" s="50"/>
      <c r="AF19" s="55"/>
      <c r="AG19" s="55"/>
      <c r="AH19" s="55"/>
      <c r="AI19" s="55"/>
    </row>
    <row r="20" spans="1:35" x14ac:dyDescent="0.2">
      <c r="A20" s="62">
        <v>0.5</v>
      </c>
      <c r="B20" s="75" cm="1">
        <f t="array" ref="B20">SUMPRODUCT(('DATA INPUT'!$L$3:$L$8999=$A20)*'DATA INPUT'!$L$3:$L$8999)</f>
        <v>147</v>
      </c>
      <c r="C20" s="75">
        <f>B20+D20</f>
        <v>149.10764</v>
      </c>
      <c r="D20" s="77" cm="1">
        <f t="array" ref="D20">SUMPRODUCT(('DATA INPUT'!$L$3:$L$8999=$A20)*'DATA INPUT'!$U$3:$U$8999)</f>
        <v>2.10764</v>
      </c>
      <c r="E20" s="78">
        <f>IFERROR(D20/B20,0)</f>
        <v>1.4337687074829932E-2</v>
      </c>
      <c r="F20" s="53" t="s">
        <v>87</v>
      </c>
      <c r="G20" s="63" cm="1">
        <f t="array" ref="G20">SUMPRODUCT(('DATA INPUT'!$L$3:$L$8999=$A20)*('DATA INPUT'!$N$3:$N$8999&gt;=1)*('DATA INPUT'!$N$3:$N$8999&lt;2)*'DATA INPUT'!$U$3:$U$8999)</f>
        <v>0</v>
      </c>
      <c r="H20" s="64" cm="1">
        <f t="array" ref="H20">SUMPRODUCT(('DATA INPUT'!$L$3:$L$8999=$A20)*('DATA INPUT'!$N$3:$N$8999&gt;=2)*('DATA INPUT'!$N$3:$N$8999&lt;3)*'DATA INPUT'!$U$3:$U$8999)</f>
        <v>0</v>
      </c>
      <c r="I20" s="64" cm="1">
        <f t="array" ref="I20">SUMPRODUCT(('DATA INPUT'!$L$3:$L$8999=$A20)*('DATA INPUT'!$N$3:$N$8999&gt;=3)*('DATA INPUT'!$N$3:$N$8999&lt;4)*'DATA INPUT'!$U$3:$U$8999)</f>
        <v>0</v>
      </c>
      <c r="J20" s="63" cm="1">
        <f t="array" ref="J20">SUMPRODUCT(('DATA INPUT'!$L$3:$L$8999=$A20)*('DATA INPUT'!$N$3:$N$8999&gt;=4)*('DATA INPUT'!$N$3:$N$8999&lt;5)*'DATA INPUT'!$U$3:$U$8999)</f>
        <v>0</v>
      </c>
      <c r="K20" s="64" cm="1">
        <f t="array" ref="K20">SUMPRODUCT(('DATA INPUT'!$L$3:$L$8999=$A20)*('DATA INPUT'!$N$3:$N$8999&gt;=5)*('DATA INPUT'!$N$3:$N$8999&lt;6)*'DATA INPUT'!$U$3:$U$8999)</f>
        <v>0</v>
      </c>
      <c r="L20" s="64" cm="1">
        <f t="array" ref="L20">SUMPRODUCT(('DATA INPUT'!$L$3:$L$8999=$A20)*('DATA INPUT'!$N$3:$N$8999&gt;=6)*('DATA INPUT'!$N$3:$N$8999&lt;7)*'DATA INPUT'!$U$3:$U$8999)</f>
        <v>-1.5</v>
      </c>
      <c r="M20" s="63" cm="1">
        <f t="array" ref="M20">SUMPRODUCT(('DATA INPUT'!$L$3:$L$8999=$A20)*('DATA INPUT'!$N$3:$N$8999&gt;=7)*('DATA INPUT'!$N$3:$N$8999&lt;8)*'DATA INPUT'!$U$3:$U$8999)</f>
        <v>5.7691999999999997</v>
      </c>
      <c r="N20" s="63" cm="1">
        <f t="array" ref="N20">SUMPRODUCT(('DATA INPUT'!$L$3:$L$8999=$A20)*('DATA INPUT'!$N$3:$N$8999&gt;=8)*('DATA INPUT'!$N$3:$N$8999&lt;9)*'DATA INPUT'!$U$3:$U$8999)</f>
        <v>-4</v>
      </c>
      <c r="O20" s="63" cm="1">
        <f t="array" ref="O20">SUMPRODUCT(('DATA INPUT'!$L$3:$L$8999=$A20)*('DATA INPUT'!$N$3:$N$8999&gt;=9)*('DATA INPUT'!$N$3:$N$8999&lt;10)*'DATA INPUT'!$U$3:$U$8999)</f>
        <v>-1.3793600000000001</v>
      </c>
      <c r="P20" s="64" cm="1">
        <f t="array" ref="P20">SUMPRODUCT(('DATA INPUT'!$L$3:$L$8999=$A20)*('DATA INPUT'!$N$3:$N$8999&gt;=10)*('DATA INPUT'!$N$3:$N$8999&lt;20)*'DATA INPUT'!$U$3:$U$8999)</f>
        <v>-12.207599999999999</v>
      </c>
      <c r="Q20" s="65" cm="1">
        <f t="array" ref="Q20">SUMPRODUCT(('DATA INPUT'!$L$3:$L$8999=$A20)*('DATA INPUT'!$N$3:$N$8999&gt;=20)*('DATA INPUT'!$N$3:$N$8999&lt;30)*'DATA INPUT'!$U$3:$U$8999)</f>
        <v>-2.1339999999999986</v>
      </c>
      <c r="R20" s="63" cm="1">
        <f t="array" ref="R20">SUMPRODUCT(('DATA INPUT'!$L$3:$L$8999=$A20)*('DATA INPUT'!$N$3:$N$8999&gt;=30)*('DATA INPUT'!$N$3:$N$8999&lt;40)*'DATA INPUT'!$U$3:$U$8999)</f>
        <v>11.875599999999999</v>
      </c>
      <c r="S20" s="63" cm="1">
        <f t="array" ref="S20">SUMPRODUCT(('DATA INPUT'!$L$3:$L$8999=$A20)*('DATA INPUT'!$N$3:$N$8999&gt;=40)*('DATA INPUT'!$N$3:$N$8999&lt;50)*'DATA INPUT'!$U$3:$U$8999)</f>
        <v>9.6838000000000015</v>
      </c>
      <c r="T20" s="64" cm="1">
        <f t="array" ref="T20">SUMPRODUCT(('DATA INPUT'!$L$3:$L$8999=$A20)*('DATA INPUT'!$N$3:$N$8999&gt;=50)*'DATA INPUT'!$U$3:$U$8999)</f>
        <v>-4</v>
      </c>
      <c r="U20" s="53" t="s">
        <v>87</v>
      </c>
      <c r="V20" s="68" cm="1">
        <f t="array" ref="V20">IFERROR(SUMPRODUCT(('DATA INPUT'!$L$3:$L$8999=$A20)*('DATA INPUT'!$N$3:$N$8999&gt;=1)*('DATA INPUT'!$N$3:$N$8999&lt;2)*'DATA INPUT'!$U$3:$U$8999)/SUMPRODUCT(('DATA INPUT'!$L$3:$L$8999=$A20)*('DATA INPUT'!$N$3:$N$8999&gt;=1)*('DATA INPUT'!$N$3:$N$8999&lt;2)*'DATA INPUT'!$L$3:$L$8999),0)</f>
        <v>0</v>
      </c>
      <c r="W20" s="69" cm="1">
        <f t="array" ref="W20">IFERROR(SUMPRODUCT(('DATA INPUT'!$L$3:$L$8999=$A20)*('DATA INPUT'!$N$3:$N$8999&gt;=2)*('DATA INPUT'!$N$3:$N$8999&lt;3)*'DATA INPUT'!$U$3:$U$8999)/SUMPRODUCT(('DATA INPUT'!$L$3:$L$8999=$A20)*('DATA INPUT'!$N$3:$N$8999&gt;=2)*('DATA INPUT'!$N$3:$N$8999&lt;3)*'DATA INPUT'!$L$3:$L$8999),0)</f>
        <v>0</v>
      </c>
      <c r="X20" s="69" cm="1">
        <f t="array" ref="X20">IFERROR(SUMPRODUCT(('DATA INPUT'!$L$3:$L$8999=$A20)*('DATA INPUT'!$N$3:$N$8999&gt;=3)*('DATA INPUT'!$N$3:$N$8999&lt;4)*'DATA INPUT'!$U$3:$U$8999)/SUMPRODUCT(('DATA INPUT'!$L$3:$L$8999=$A20)*('DATA INPUT'!$N$3:$N$8999&gt;=3)*('DATA INPUT'!$N$3:$N$8999&lt;4)*'DATA INPUT'!$L$3:$L$8999),0)</f>
        <v>0</v>
      </c>
      <c r="Y20" s="68" cm="1">
        <f t="array" ref="Y20">IFERROR(SUMPRODUCT(('DATA INPUT'!$L$3:$L$8999=$A20)*('DATA INPUT'!$N$3:$N$8999&gt;=4)*('DATA INPUT'!$N$3:$N$8999&lt;5)*'DATA INPUT'!$U$3:$U$8999)/SUMPRODUCT(('DATA INPUT'!$L$3:$L$8999=$A20)*('DATA INPUT'!$N$3:$N$8999&gt;=4)*('DATA INPUT'!$N$3:$N$8999&lt;5)*'DATA INPUT'!$L$3:$L$8999),0)</f>
        <v>0</v>
      </c>
      <c r="Z20" s="69" cm="1">
        <f t="array" ref="Z20">IFERROR(SUMPRODUCT(('DATA INPUT'!$L$3:$L$8999=$A20)*('DATA INPUT'!$N$3:$N$8999&gt;=5)*('DATA INPUT'!$N$3:$N$8999&lt;6)*'DATA INPUT'!$U$3:$U$8999)/SUMPRODUCT(('DATA INPUT'!$L$3:$L$8999=$A20)*('DATA INPUT'!$N$3:$N$8999&gt;=5)*('DATA INPUT'!$N$3:$N$8999&lt;6)*'DATA INPUT'!$L$3:$L$8999),0)</f>
        <v>0</v>
      </c>
      <c r="AA20" s="69" cm="1">
        <f t="array" ref="AA20">IFERROR(SUMPRODUCT(('DATA INPUT'!$L$3:$L$8999=$A20)*('DATA INPUT'!$N$3:$N$8999&gt;=6)*('DATA INPUT'!$N$3:$N$8999&lt;7)*'DATA INPUT'!$U$3:$U$8999)/SUMPRODUCT(('DATA INPUT'!$L$3:$L$8999=$A20)*('DATA INPUT'!$N$3:$N$8999&gt;=6)*('DATA INPUT'!$N$3:$N$8999&lt;7)*'DATA INPUT'!$L$3:$L$8999),0)</f>
        <v>-1</v>
      </c>
      <c r="AB20" s="68" cm="1">
        <f t="array" ref="AB20">IFERROR(SUMPRODUCT(('DATA INPUT'!$L$3:$L$8999=$A20)*('DATA INPUT'!$N$3:$N$8999&gt;=7)*('DATA INPUT'!$N$3:$N$8999&lt;8)*'DATA INPUT'!$U$3:$U$8999)/SUMPRODUCT(('DATA INPUT'!$L$3:$L$8999=$A20)*('DATA INPUT'!$N$3:$N$8999&gt;=7)*('DATA INPUT'!$N$3:$N$8999&lt;8)*'DATA INPUT'!$L$3:$L$8999),0)</f>
        <v>3.846133333333333</v>
      </c>
      <c r="AC20" s="68" cm="1">
        <f t="array" ref="AC20">IFERROR(SUMPRODUCT(('DATA INPUT'!$L$3:$L$8999=$A20)*('DATA INPUT'!$N$3:$N$8999&gt;=8)*('DATA INPUT'!$N$3:$N$8999&lt;9)*'DATA INPUT'!$U$3:$U$8999)/SUMPRODUCT(('DATA INPUT'!$L$3:$L$8999=$A20)*('DATA INPUT'!$N$3:$N$8999&gt;=8)*('DATA INPUT'!$N$3:$N$8999&lt;9)*'DATA INPUT'!$L$3:$L$8999),0)</f>
        <v>-1</v>
      </c>
      <c r="AD20" s="68" cm="1">
        <f t="array" ref="AD20">IFERROR(SUMPRODUCT(('DATA INPUT'!$L$3:$L$8999=$A20)*('DATA INPUT'!$N$3:$N$8999&gt;=9)*('DATA INPUT'!$N$3:$N$8999&lt;10)*'DATA INPUT'!$U$3:$U$8999)/SUMPRODUCT(('DATA INPUT'!$L$3:$L$8999=$A20)*('DATA INPUT'!$N$3:$N$8999&gt;=9)*('DATA INPUT'!$N$3:$N$8999&lt;10)*'DATA INPUT'!$L$3:$L$8999),0)</f>
        <v>-0.22989333333333337</v>
      </c>
      <c r="AE20" s="69" cm="1">
        <f t="array" ref="AE20">IFERROR(SUMPRODUCT(('DATA INPUT'!$L$3:$L$8999=$A20)*('DATA INPUT'!$N$3:$N$8999&gt;=10)*('DATA INPUT'!$N$3:$N$8999&lt;20)*'DATA INPUT'!$U$3:$U$8999)/SUMPRODUCT(('DATA INPUT'!$L$3:$L$8999=$A20)*('DATA INPUT'!$N$3:$N$8999&gt;=10)*('DATA INPUT'!$N$3:$N$8999&lt;20)*'DATA INPUT'!$L$3:$L$8999),0)</f>
        <v>-0.19532159999999998</v>
      </c>
      <c r="AF20" s="70" cm="1">
        <f t="array" ref="AF20">IFERROR(SUMPRODUCT(('DATA INPUT'!$L$3:$L$8999=$A20)*('DATA INPUT'!$N$3:$N$8999&gt;=20)*('DATA INPUT'!$N$3:$N$8999&lt;30)*'DATA INPUT'!$U$3:$U$8999)/SUMPRODUCT(('DATA INPUT'!$L$3:$L$8999=$A20)*('DATA INPUT'!$N$3:$N$8999&gt;=20)*('DATA INPUT'!$N$3:$N$8999&lt;30)*'DATA INPUT'!$L$3:$L$8999),0)</f>
        <v>-5.6906666666666626E-2</v>
      </c>
      <c r="AG20" s="70" cm="1">
        <f t="array" ref="AG20">IFERROR(SUMPRODUCT(('DATA INPUT'!$L$3:$L$8999=$A20)*('DATA INPUT'!$N$3:$N$8999&gt;=30)*('DATA INPUT'!$N$3:$N$8999&lt;40)*'DATA INPUT'!$U$3:$U$8999)/SUMPRODUCT(('DATA INPUT'!$L$3:$L$8999=$A20)*('DATA INPUT'!$N$3:$N$8999&gt;=30)*('DATA INPUT'!$N$3:$N$8999&lt;40)*'DATA INPUT'!$L$3:$L$8999),0)</f>
        <v>0.57929756097560969</v>
      </c>
      <c r="AH20" s="70" cm="1">
        <f t="array" ref="AH20">IFERROR(SUMPRODUCT(('DATA INPUT'!$L$3:$L$8999=$A20)*('DATA INPUT'!$N$3:$N$8999&gt;=40)*('DATA INPUT'!$N$3:$N$8999&lt;50)*'DATA INPUT'!$U$3:$U$8999)/SUMPRODUCT(('DATA INPUT'!$L$3:$L$8999=$A20)*('DATA INPUT'!$N$3:$N$8999&gt;=40)*('DATA INPUT'!$N$3:$N$8999&lt;50)*'DATA INPUT'!$L$3:$L$8999),0)</f>
        <v>1.0193473684210528</v>
      </c>
      <c r="AI20" s="71" cm="1">
        <f t="array" ref="AI20">IFERROR(SUMPRODUCT(('DATA INPUT'!$L$3:$L$8999=$A20)*('DATA INPUT'!$N$3:$N$8999&gt;=50)*'DATA INPUT'!$U$3:$U$8999)/SUMPRODUCT(('DATA INPUT'!$L$3:$L$8999=$A20)*('DATA INPUT'!$N$3:$N$8999&gt;=50)*'DATA INPUT'!$L$3:$L$8999),0)</f>
        <v>-1</v>
      </c>
    </row>
    <row r="21" spans="1:35" x14ac:dyDescent="0.2">
      <c r="A21" s="62">
        <v>1</v>
      </c>
      <c r="B21" s="75" cm="1">
        <f t="array" ref="B21">SUMPRODUCT(('DATA INPUT'!$L$3:$L$8999=$A21)*'DATA INPUT'!$L$3:$L$8999)</f>
        <v>0</v>
      </c>
      <c r="C21" s="75">
        <f>B21+D21</f>
        <v>0</v>
      </c>
      <c r="D21" s="77" cm="1">
        <f t="array" ref="D21">SUMPRODUCT(('DATA INPUT'!$L$3:$L$8999=$A21)*'DATA INPUT'!$U$3:$U$8999)</f>
        <v>0</v>
      </c>
      <c r="E21" s="76">
        <f>IFERROR(D21/B21,0)</f>
        <v>0</v>
      </c>
      <c r="F21" s="53" t="s">
        <v>87</v>
      </c>
      <c r="G21" s="63" cm="1">
        <f t="array" ref="G21">SUMPRODUCT(('DATA INPUT'!$L$3:$L$8999=$A21)*('DATA INPUT'!$N$3:$N$8999&gt;=1)*('DATA INPUT'!$N$3:$N$8999&lt;2)*'DATA INPUT'!$U$3:$U$8999)</f>
        <v>0</v>
      </c>
      <c r="H21" s="63" cm="1">
        <f t="array" ref="H21">SUMPRODUCT(('DATA INPUT'!$L$3:$L$8999=$A21)*('DATA INPUT'!$N$3:$N$8999&gt;=2)*('DATA INPUT'!$N$3:$N$8999&lt;3)*'DATA INPUT'!$U$3:$U$8999)</f>
        <v>0</v>
      </c>
      <c r="I21" s="63" cm="1">
        <f t="array" ref="I21">SUMPRODUCT(('DATA INPUT'!$L$3:$L$8999=$A21)*('DATA INPUT'!$N$3:$N$8999&gt;=3)*('DATA INPUT'!$N$3:$N$8999&lt;4)*'DATA INPUT'!$U$3:$U$8999)</f>
        <v>0</v>
      </c>
      <c r="J21" s="63" cm="1">
        <f t="array" ref="J21">SUMPRODUCT(('DATA INPUT'!$L$3:$L$8999=$A21)*('DATA INPUT'!$N$3:$N$8999&gt;=4)*('DATA INPUT'!$N$3:$N$8999&lt;5)*'DATA INPUT'!$U$3:$U$8999)</f>
        <v>0</v>
      </c>
      <c r="K21" s="63" cm="1">
        <f t="array" ref="K21">SUMPRODUCT(('DATA INPUT'!$L$3:$L$8999=$A21)*('DATA INPUT'!$N$3:$N$8999&gt;=5)*('DATA INPUT'!$N$3:$N$8999&lt;6)*'DATA INPUT'!$U$3:$U$8999)</f>
        <v>0</v>
      </c>
      <c r="L21" s="63" cm="1">
        <f t="array" ref="L21">SUMPRODUCT(('DATA INPUT'!$L$3:$L$8999=$A21)*('DATA INPUT'!$N$3:$N$8999&gt;=6)*('DATA INPUT'!$N$3:$N$8999&lt;7)*'DATA INPUT'!$U$3:$U$8999)</f>
        <v>0</v>
      </c>
      <c r="M21" s="63" cm="1">
        <f t="array" ref="M21">SUMPRODUCT(('DATA INPUT'!$L$3:$L$8999=$A21)*('DATA INPUT'!$N$3:$N$8999&gt;=7)*('DATA INPUT'!$N$3:$N$8999&lt;8)*'DATA INPUT'!$U$3:$U$8999)</f>
        <v>0</v>
      </c>
      <c r="N21" s="64" cm="1">
        <f t="array" ref="N21">SUMPRODUCT(('DATA INPUT'!$L$3:$L$8999=$A21)*('DATA INPUT'!$N$3:$N$8999&gt;=8)*('DATA INPUT'!$N$3:$N$8999&lt;9)*'DATA INPUT'!$U$3:$U$8999)</f>
        <v>0</v>
      </c>
      <c r="O21" s="63" cm="1">
        <f t="array" ref="O21">SUMPRODUCT(('DATA INPUT'!$L$3:$L$8999=$A21)*('DATA INPUT'!$N$3:$N$8999&gt;=9)*('DATA INPUT'!$N$3:$N$8999&lt;10)*'DATA INPUT'!$U$3:$U$8999)</f>
        <v>0</v>
      </c>
      <c r="P21" s="65" cm="1">
        <f t="array" ref="P21">SUMPRODUCT(('DATA INPUT'!$L$3:$L$8999=$A21)*('DATA INPUT'!$N$3:$N$8999&gt;=10)*('DATA INPUT'!$N$3:$N$8999&lt;20)*'DATA INPUT'!$U$3:$U$8999)</f>
        <v>0</v>
      </c>
      <c r="Q21" s="65" cm="1">
        <f t="array" ref="Q21">SUMPRODUCT(('DATA INPUT'!$L$3:$L$8999=$A21)*('DATA INPUT'!$N$3:$N$8999&gt;=20)*('DATA INPUT'!$N$3:$N$8999&lt;30)*'DATA INPUT'!$U$3:$U$8999)</f>
        <v>0</v>
      </c>
      <c r="R21" s="64" cm="1">
        <f t="array" ref="R21">SUMPRODUCT(('DATA INPUT'!$L$3:$L$8999=$A21)*('DATA INPUT'!$N$3:$N$8999&gt;=30)*('DATA INPUT'!$N$3:$N$8999&lt;40)*'DATA INPUT'!$U$3:$U$8999)</f>
        <v>0</v>
      </c>
      <c r="S21" s="63" cm="1">
        <f t="array" ref="S21">SUMPRODUCT(('DATA INPUT'!$L$3:$L$8999=$A21)*('DATA INPUT'!$N$3:$N$8999&gt;=40)*('DATA INPUT'!$N$3:$N$8999&lt;50)*'DATA INPUT'!$U$3:$U$8999)</f>
        <v>0</v>
      </c>
      <c r="T21" s="65" cm="1">
        <f t="array" ref="T21">SUMPRODUCT(('DATA INPUT'!$L$3:$L$8999=$A21)*('DATA INPUT'!$N$3:$N$8999&gt;=50)*'DATA INPUT'!$U$3:$U$8999)</f>
        <v>0</v>
      </c>
      <c r="U21" s="53" t="s">
        <v>87</v>
      </c>
      <c r="V21" s="68" cm="1">
        <f t="array" ref="V21">IFERROR(SUMPRODUCT(('DATA INPUT'!$L$3:$L$8999=$A21)*('DATA INPUT'!$N$3:$N$8999&gt;=1)*('DATA INPUT'!$N$3:$N$8999&lt;2)*'DATA INPUT'!$U$3:$U$8999)/SUMPRODUCT(('DATA INPUT'!$L$3:$L$8999=$A21)*('DATA INPUT'!$N$3:$N$8999&gt;=1)*('DATA INPUT'!$N$3:$N$8999&lt;2)*'DATA INPUT'!$L$3:$L$8999),0)</f>
        <v>0</v>
      </c>
      <c r="W21" s="68" cm="1">
        <f t="array" ref="W21">IFERROR(SUMPRODUCT(('DATA INPUT'!$L$3:$L$8999=$A21)*('DATA INPUT'!$N$3:$N$8999&gt;=2)*('DATA INPUT'!$N$3:$N$8999&lt;3)*'DATA INPUT'!$U$3:$U$8999)/SUMPRODUCT(('DATA INPUT'!$L$3:$L$8999=$A21)*('DATA INPUT'!$N$3:$N$8999&gt;=2)*('DATA INPUT'!$N$3:$N$8999&lt;3)*'DATA INPUT'!$L$3:$L$8999),0)</f>
        <v>0</v>
      </c>
      <c r="X21" s="68" cm="1">
        <f t="array" ref="X21">IFERROR(SUMPRODUCT(('DATA INPUT'!$L$3:$L$8999=$A21)*('DATA INPUT'!$N$3:$N$8999&gt;=3)*('DATA INPUT'!$N$3:$N$8999&lt;4)*'DATA INPUT'!$U$3:$U$8999)/SUMPRODUCT(('DATA INPUT'!$L$3:$L$8999=$A21)*('DATA INPUT'!$N$3:$N$8999&gt;=3)*('DATA INPUT'!$N$3:$N$8999&lt;4)*'DATA INPUT'!$L$3:$L$8999),0)</f>
        <v>0</v>
      </c>
      <c r="Y21" s="68" cm="1">
        <f t="array" ref="Y21">IFERROR(SUMPRODUCT(('DATA INPUT'!$L$3:$L$8999=$A21)*('DATA INPUT'!$N$3:$N$8999&gt;=4)*('DATA INPUT'!$N$3:$N$8999&lt;5)*'DATA INPUT'!$U$3:$U$8999)/SUMPRODUCT(('DATA INPUT'!$L$3:$L$8999=$A21)*('DATA INPUT'!$N$3:$N$8999&gt;=4)*('DATA INPUT'!$N$3:$N$8999&lt;5)*'DATA INPUT'!$L$3:$L$8999),0)</f>
        <v>0</v>
      </c>
      <c r="Z21" s="68" cm="1">
        <f t="array" ref="Z21">IFERROR(SUMPRODUCT(('DATA INPUT'!$L$3:$L$8999=$A21)*('DATA INPUT'!$N$3:$N$8999&gt;=5)*('DATA INPUT'!$N$3:$N$8999&lt;6)*'DATA INPUT'!$U$3:$U$8999)/SUMPRODUCT(('DATA INPUT'!$L$3:$L$8999=$A21)*('DATA INPUT'!$N$3:$N$8999&gt;=5)*('DATA INPUT'!$N$3:$N$8999&lt;6)*'DATA INPUT'!$L$3:$L$8999),0)</f>
        <v>0</v>
      </c>
      <c r="AA21" s="68" cm="1">
        <f t="array" ref="AA21">IFERROR(SUMPRODUCT(('DATA INPUT'!$L$3:$L$8999=$A21)*('DATA INPUT'!$N$3:$N$8999&gt;=6)*('DATA INPUT'!$N$3:$N$8999&lt;7)*'DATA INPUT'!$U$3:$U$8999)/SUMPRODUCT(('DATA INPUT'!$L$3:$L$8999=$A21)*('DATA INPUT'!$N$3:$N$8999&gt;=6)*('DATA INPUT'!$N$3:$N$8999&lt;7)*'DATA INPUT'!$L$3:$L$8999),0)</f>
        <v>0</v>
      </c>
      <c r="AB21" s="68" cm="1">
        <f t="array" ref="AB21">IFERROR(SUMPRODUCT(('DATA INPUT'!$L$3:$L$8999=$A21)*('DATA INPUT'!$N$3:$N$8999&gt;=7)*('DATA INPUT'!$N$3:$N$8999&lt;8)*'DATA INPUT'!$U$3:$U$8999)/SUMPRODUCT(('DATA INPUT'!$L$3:$L$8999=$A21)*('DATA INPUT'!$N$3:$N$8999&gt;=7)*('DATA INPUT'!$N$3:$N$8999&lt;8)*'DATA INPUT'!$L$3:$L$8999),0)</f>
        <v>0</v>
      </c>
      <c r="AC21" s="69" cm="1">
        <f t="array" ref="AC21">IFERROR(SUMPRODUCT(('DATA INPUT'!$L$3:$L$8999=$A21)*('DATA INPUT'!$N$3:$N$8999&gt;=8)*('DATA INPUT'!$N$3:$N$8999&lt;9)*'DATA INPUT'!$U$3:$U$8999)/SUMPRODUCT(('DATA INPUT'!$L$3:$L$8999=$A21)*('DATA INPUT'!$N$3:$N$8999&gt;=8)*('DATA INPUT'!$N$3:$N$8999&lt;9)*'DATA INPUT'!$L$3:$L$8999),0)</f>
        <v>0</v>
      </c>
      <c r="AD21" s="68" cm="1">
        <f t="array" ref="AD21">IFERROR(SUMPRODUCT(('DATA INPUT'!$L$3:$L$8999=$A21)*('DATA INPUT'!$N$3:$N$8999&gt;=9)*('DATA INPUT'!$N$3:$N$8999&lt;10)*'DATA INPUT'!$U$3:$U$8999)/SUMPRODUCT(('DATA INPUT'!$L$3:$L$8999=$A21)*('DATA INPUT'!$N$3:$N$8999&gt;=9)*('DATA INPUT'!$N$3:$N$8999&lt;10)*'DATA INPUT'!$L$3:$L$8999),0)</f>
        <v>0</v>
      </c>
      <c r="AE21" s="68" cm="1">
        <f t="array" ref="AE21">IFERROR(SUMPRODUCT(('DATA INPUT'!$L$3:$L$8999=$A21)*('DATA INPUT'!$N$3:$N$8999&gt;=10)*('DATA INPUT'!$N$3:$N$8999&lt;20)*'DATA INPUT'!$U$3:$U$8999)/SUMPRODUCT(('DATA INPUT'!$L$3:$L$8999=$A21)*('DATA INPUT'!$N$3:$N$8999&gt;=10)*('DATA INPUT'!$N$3:$N$8999&lt;20)*'DATA INPUT'!$L$3:$L$8999),0)</f>
        <v>0</v>
      </c>
      <c r="AF21" s="70" cm="1">
        <f t="array" ref="AF21">IFERROR(SUMPRODUCT(('DATA INPUT'!$L$3:$L$8999=$A21)*('DATA INPUT'!$N$3:$N$8999&gt;=20)*('DATA INPUT'!$N$3:$N$8999&lt;30)*'DATA INPUT'!$U$3:$U$8999)/SUMPRODUCT(('DATA INPUT'!$L$3:$L$8999=$A21)*('DATA INPUT'!$N$3:$N$8999&gt;=20)*('DATA INPUT'!$N$3:$N$8999&lt;30)*'DATA INPUT'!$L$3:$L$8999),0)</f>
        <v>0</v>
      </c>
      <c r="AG21" s="71" cm="1">
        <f t="array" ref="AG21">IFERROR(SUMPRODUCT(('DATA INPUT'!$L$3:$L$8999=$A21)*('DATA INPUT'!$N$3:$N$8999&gt;=30)*('DATA INPUT'!$N$3:$N$8999&lt;40)*'DATA INPUT'!$U$3:$U$8999)/SUMPRODUCT(('DATA INPUT'!$L$3:$L$8999=$A21)*('DATA INPUT'!$N$3:$N$8999&gt;=30)*('DATA INPUT'!$N$3:$N$8999&lt;40)*'DATA INPUT'!$L$3:$L$8999),0)</f>
        <v>0</v>
      </c>
      <c r="AH21" s="70" cm="1">
        <f t="array" ref="AH21">IFERROR(SUMPRODUCT(('DATA INPUT'!$L$3:$L$8999=$A21)*('DATA INPUT'!$N$3:$N$8999&gt;=40)*('DATA INPUT'!$N$3:$N$8999&lt;50)*'DATA INPUT'!$U$3:$U$8999)/SUMPRODUCT(('DATA INPUT'!$L$3:$L$8999=$A21)*('DATA INPUT'!$N$3:$N$8999&gt;=40)*('DATA INPUT'!$N$3:$N$8999&lt;50)*'DATA INPUT'!$L$3:$L$8999),0)</f>
        <v>0</v>
      </c>
      <c r="AI21" s="70" cm="1">
        <f t="array" ref="AI21">IFERROR(SUMPRODUCT(('DATA INPUT'!$L$3:$L$8999=$A21)*('DATA INPUT'!$N$3:$N$8999&gt;=50)*'DATA INPUT'!$U$3:$U$8999)/SUMPRODUCT(('DATA INPUT'!$L$3:$L$8999=$A21)*('DATA INPUT'!$N$3:$N$8999&gt;=50)*'DATA INPUT'!$L$3:$L$8999),0)</f>
        <v>0</v>
      </c>
    </row>
    <row r="22" spans="1:35" x14ac:dyDescent="0.2">
      <c r="A22" s="52" t="s">
        <v>87</v>
      </c>
      <c r="B22" s="75"/>
      <c r="C22" s="75"/>
      <c r="D22" s="75"/>
      <c r="E22" s="76"/>
      <c r="F22" s="53" t="s">
        <v>87</v>
      </c>
      <c r="G22" s="63"/>
      <c r="H22" s="63"/>
      <c r="I22" s="63"/>
      <c r="J22" s="63"/>
      <c r="K22" s="63"/>
      <c r="L22" s="63"/>
      <c r="M22" s="63"/>
      <c r="N22" s="63"/>
      <c r="O22" s="63"/>
      <c r="P22" s="63"/>
      <c r="Q22" s="63"/>
      <c r="R22" s="63"/>
      <c r="S22" s="63"/>
      <c r="T22" s="63"/>
      <c r="U22" s="53" t="s">
        <v>87</v>
      </c>
      <c r="V22" s="68"/>
      <c r="W22" s="68"/>
      <c r="X22" s="68"/>
      <c r="Y22" s="68"/>
      <c r="Z22" s="68"/>
      <c r="AA22" s="68"/>
      <c r="AB22" s="68"/>
      <c r="AC22" s="68"/>
      <c r="AD22" s="68"/>
      <c r="AE22" s="68"/>
      <c r="AF22" s="70"/>
      <c r="AG22" s="70"/>
      <c r="AH22" s="70"/>
      <c r="AI22" s="70"/>
    </row>
    <row r="23" spans="1:35" x14ac:dyDescent="0.2">
      <c r="A23" s="56" t="s">
        <v>70</v>
      </c>
      <c r="B23" s="79">
        <f>SUM(B20:B21)</f>
        <v>147</v>
      </c>
      <c r="C23" s="79">
        <f>SUM(C20:C21)</f>
        <v>149.10764</v>
      </c>
      <c r="D23" s="79">
        <f>SUM(D20:D21)</f>
        <v>2.10764</v>
      </c>
      <c r="E23" s="80">
        <f>IFERROR(D23/B23,0)</f>
        <v>1.4337687074829932E-2</v>
      </c>
      <c r="F23" s="57" t="s">
        <v>87</v>
      </c>
      <c r="G23" s="59">
        <f t="shared" ref="G23:T23" si="4">SUM(G20:G21)</f>
        <v>0</v>
      </c>
      <c r="H23" s="66">
        <f t="shared" si="4"/>
        <v>0</v>
      </c>
      <c r="I23" s="66">
        <f t="shared" si="4"/>
        <v>0</v>
      </c>
      <c r="J23" s="59">
        <f t="shared" si="4"/>
        <v>0</v>
      </c>
      <c r="K23" s="66">
        <f t="shared" si="4"/>
        <v>0</v>
      </c>
      <c r="L23" s="66">
        <f t="shared" si="4"/>
        <v>-1.5</v>
      </c>
      <c r="M23" s="59">
        <f t="shared" si="4"/>
        <v>5.7691999999999997</v>
      </c>
      <c r="N23" s="59">
        <f t="shared" si="4"/>
        <v>-4</v>
      </c>
      <c r="O23" s="59">
        <f t="shared" si="4"/>
        <v>-1.3793600000000001</v>
      </c>
      <c r="P23" s="67">
        <f t="shared" si="4"/>
        <v>-12.207599999999999</v>
      </c>
      <c r="Q23" s="67">
        <f t="shared" si="4"/>
        <v>-2.1339999999999986</v>
      </c>
      <c r="R23" s="59">
        <f t="shared" si="4"/>
        <v>11.875599999999999</v>
      </c>
      <c r="S23" s="59">
        <f t="shared" si="4"/>
        <v>9.6838000000000015</v>
      </c>
      <c r="T23" s="67">
        <f t="shared" si="4"/>
        <v>-4</v>
      </c>
      <c r="U23" s="57" t="s">
        <v>87</v>
      </c>
      <c r="V23" s="61" cm="1">
        <f t="array" ref="V23">IFERROR(SUMPRODUCT(('DATA INPUT'!$N$3:$N$8999&gt;=1)*('DATA INPUT'!$N$3:$N$8999&lt;2)*'DATA INPUT'!$U$3:$U$8999)/SUMPRODUCT(('DATA INPUT'!$N$3:$N$8999&gt;=1)*('DATA INPUT'!$N$3:$N$8999&lt;2)*'DATA INPUT'!$L$3:$L$8999),0)</f>
        <v>0</v>
      </c>
      <c r="W23" s="61" cm="1">
        <f t="array" ref="W23">IFERROR(SUMPRODUCT(('DATA INPUT'!$N$3:$N$8999&gt;=2)*('DATA INPUT'!$N$3:$N$8999&lt;3)*'DATA INPUT'!$U$3:$U$8999)/SUMPRODUCT(('DATA INPUT'!$N$3:$N$8999&gt;=2)*('DATA INPUT'!$N$3:$N$8999&lt;3)*'DATA INPUT'!$L$3:$L$8999),0)</f>
        <v>1.7399999999999998</v>
      </c>
      <c r="X23" s="72" cm="1">
        <f t="array" ref="X23">IFERROR(SUMPRODUCT(('DATA INPUT'!$N$3:$N$8999&gt;=3)*('DATA INPUT'!$N$3:$N$8999&lt;4)*'DATA INPUT'!$U$3:$U$8999)/SUMPRODUCT(('DATA INPUT'!$N$3:$N$8999&gt;=3)*('DATA INPUT'!$N$3:$N$8999&lt;4)*'DATA INPUT'!$L$3:$L$8999),0)</f>
        <v>-1</v>
      </c>
      <c r="Y23" s="61" cm="1">
        <f t="array" ref="Y23">IFERROR(SUMPRODUCT(('DATA INPUT'!$N$3:$N$8999&gt;=4)*('DATA INPUT'!$N$3:$N$8999&lt;5)*'DATA INPUT'!$U$3:$U$8999)/SUMPRODUCT(('DATA INPUT'!$N$3:$N$8999&gt;=4)*('DATA INPUT'!$N$3:$N$8999&lt;5)*'DATA INPUT'!$L$3:$L$8999),0)</f>
        <v>-0.28736000000000006</v>
      </c>
      <c r="Z23" s="61" cm="1">
        <f t="array" ref="Z23">IFERROR(SUMPRODUCT(('DATA INPUT'!$N$3:$N$8999&gt;=5)*('DATA INPUT'!$N$3:$N$8999&lt;6)*'DATA INPUT'!$U$3:$U$8999)/SUMPRODUCT(('DATA INPUT'!$N$3:$N$8999&gt;=5)*('DATA INPUT'!$N$3:$N$8999&lt;6)*'DATA INPUT'!$L$3:$L$8999),0)</f>
        <v>0.40499999999999997</v>
      </c>
      <c r="AA23" s="72" cm="1">
        <f t="array" ref="AA23">IFERROR(SUMPRODUCT(('DATA INPUT'!$N$3:$N$8999&gt;=6)*('DATA INPUT'!$N$3:$N$8999&lt;7)*'DATA INPUT'!$U$3:$U$8999)/SUMPRODUCT(('DATA INPUT'!$N$3:$N$8999&gt;=6)*('DATA INPUT'!$N$3:$N$8999&lt;7)*'DATA INPUT'!$L$3:$L$8999),0)</f>
        <v>-1.0519999999999992</v>
      </c>
      <c r="AB23" s="61" cm="1">
        <f t="array" ref="AB23">IFERROR(SUMPRODUCT(('DATA INPUT'!$N$3:$N$8999&gt;=7)*('DATA INPUT'!$N$3:$N$8999&lt;8)*'DATA INPUT'!$U$3:$U$8999)/SUMPRODUCT(('DATA INPUT'!$N$3:$N$8999&gt;=7)*('DATA INPUT'!$N$3:$N$8999&lt;8)*'DATA INPUT'!$L$3:$L$8999),0)</f>
        <v>3.1457142857142855</v>
      </c>
      <c r="AC23" s="61" cm="1">
        <f t="array" ref="AC23">IFERROR(SUMPRODUCT(('DATA INPUT'!$N$3:$N$8999&gt;=8)*('DATA INPUT'!$N$3:$N$8999&lt;9)*'DATA INPUT'!$U$3:$U$8999)/SUMPRODUCT(('DATA INPUT'!$N$3:$N$8999&gt;=8)*('DATA INPUT'!$N$3:$N$8999&lt;9)*'DATA INPUT'!$L$3:$L$8999),0)</f>
        <v>-1</v>
      </c>
      <c r="AD23" s="61" cm="1">
        <f t="array" ref="AD23">IFERROR(SUMPRODUCT(('DATA INPUT'!$N$3:$N$8999&gt;=9)*('DATA INPUT'!$N$3:$N$8999&lt;10)*'DATA INPUT'!$U$3:$U$8999)/SUMPRODUCT(('DATA INPUT'!$N$3:$N$8999&gt;=9)*('DATA INPUT'!$N$3:$N$8999&lt;10)*'DATA INPUT'!$L$3:$L$8999),0)</f>
        <v>-0.22989333333333337</v>
      </c>
      <c r="AE23" s="61" cm="1">
        <f t="array" ref="AE23">IFERROR(SUMPRODUCT(('DATA INPUT'!$N$3:$N$8999&gt;=10)*('DATA INPUT'!$N$3:$N$8999&lt;20)*'DATA INPUT'!$U$3:$U$8999)/SUMPRODUCT(('DATA INPUT'!$N$3:$N$8999&gt;=10)*('DATA INPUT'!$N$3:$N$8999&lt;20)*'DATA INPUT'!$L$3:$L$8999),0)</f>
        <v>-0.19788835725677828</v>
      </c>
      <c r="AF23" s="74" cm="1">
        <f t="array" ref="AF23">IFERROR(SUMPRODUCT(('DATA INPUT'!$N$3:$N$8999&gt;=20)*('DATA INPUT'!$N$3:$N$8999&lt;30)*'DATA INPUT'!$U$3:$U$8999)/SUMPRODUCT(('DATA INPUT'!$N$3:$N$8999&gt;=20)*('DATA INPUT'!$N$3:$N$8999&lt;30)*'DATA INPUT'!$L$3:$L$8999),0)</f>
        <v>-5.6906666666666626E-2</v>
      </c>
      <c r="AG23" s="74" cm="1">
        <f t="array" ref="AG23">IFERROR(SUMPRODUCT(('DATA INPUT'!$N$3:$N$8999&gt;=30)*('DATA INPUT'!$N$3:$N$8999&lt;40)*'DATA INPUT'!$U$3:$U$8999)/SUMPRODUCT(('DATA INPUT'!$N$3:$N$8999&gt;=30)*('DATA INPUT'!$N$3:$N$8999&lt;40)*'DATA INPUT'!$L$3:$L$8999),0)</f>
        <v>0.57929756097560969</v>
      </c>
      <c r="AH23" s="74" cm="1">
        <f t="array" ref="AH23">IFERROR(SUMPRODUCT(('DATA INPUT'!$N$3:$N$8999&gt;=40)*('DATA INPUT'!$N$3:$N$8999&lt;50)*'DATA INPUT'!$U$3:$U$8999)/SUMPRODUCT(('DATA INPUT'!$N$3:$N$8999&gt;=40)*('DATA INPUT'!$N$3:$N$8999&lt;50)*'DATA INPUT'!$L$3:$L$8999),0)</f>
        <v>1.0193473684210528</v>
      </c>
      <c r="AI23" s="74" cm="1">
        <f t="array" ref="AI23">IFERROR(SUMPRODUCT(('DATA INPUT'!$N$3:$N$8999&gt;=50)*'DATA INPUT'!$U$3:$U$8999)/SUMPRODUCT(('DATA INPUT'!$N$3:$N$8999&gt;=50)*'DATA INPUT'!$L$3:$L$8999),0)</f>
        <v>-1</v>
      </c>
    </row>
    <row r="25" spans="1:35" x14ac:dyDescent="0.2">
      <c r="A25" s="51" t="s">
        <v>90</v>
      </c>
      <c r="B25" s="51" t="s">
        <v>69</v>
      </c>
      <c r="C25" s="51" t="s">
        <v>100</v>
      </c>
      <c r="D25" s="51" t="s">
        <v>101</v>
      </c>
      <c r="E25" s="51" t="s">
        <v>25</v>
      </c>
      <c r="F25" s="51" t="s">
        <v>62</v>
      </c>
      <c r="G25" s="51" t="s">
        <v>71</v>
      </c>
      <c r="H25" s="51" t="s">
        <v>72</v>
      </c>
      <c r="I25" s="51" t="s">
        <v>73</v>
      </c>
      <c r="J25" s="51" t="s">
        <v>74</v>
      </c>
      <c r="K25" s="51" t="s">
        <v>75</v>
      </c>
      <c r="L25" s="51" t="s">
        <v>76</v>
      </c>
      <c r="M25" s="51" t="s">
        <v>77</v>
      </c>
      <c r="N25" s="51" t="s">
        <v>78</v>
      </c>
      <c r="O25" s="51" t="s">
        <v>79</v>
      </c>
      <c r="P25" s="51" t="s">
        <v>80</v>
      </c>
      <c r="Q25" s="51" t="s">
        <v>81</v>
      </c>
      <c r="R25" s="51" t="s">
        <v>82</v>
      </c>
      <c r="S25" s="51" t="s">
        <v>83</v>
      </c>
      <c r="T25" s="51" t="s">
        <v>84</v>
      </c>
      <c r="U25" s="51" t="s">
        <v>85</v>
      </c>
      <c r="V25" s="51" t="s">
        <v>71</v>
      </c>
      <c r="W25" s="51" t="s">
        <v>72</v>
      </c>
      <c r="X25" s="51" t="s">
        <v>73</v>
      </c>
      <c r="Y25" s="51" t="s">
        <v>74</v>
      </c>
      <c r="Z25" s="51" t="s">
        <v>75</v>
      </c>
      <c r="AA25" s="51" t="s">
        <v>76</v>
      </c>
      <c r="AB25" s="51" t="s">
        <v>77</v>
      </c>
      <c r="AC25" s="51" t="s">
        <v>78</v>
      </c>
      <c r="AD25" s="51" t="s">
        <v>79</v>
      </c>
      <c r="AE25" s="51" t="s">
        <v>80</v>
      </c>
      <c r="AF25" s="51" t="s">
        <v>81</v>
      </c>
      <c r="AG25" s="51" t="s">
        <v>82</v>
      </c>
      <c r="AH25" s="51" t="s">
        <v>83</v>
      </c>
      <c r="AI25" s="51" t="s">
        <v>84</v>
      </c>
    </row>
    <row r="26" spans="1:35" x14ac:dyDescent="0.2">
      <c r="A26" s="52" t="s">
        <v>87</v>
      </c>
      <c r="B26" s="75"/>
      <c r="C26" s="75"/>
      <c r="D26" s="75"/>
      <c r="E26" s="76"/>
      <c r="F26" s="53" t="s">
        <v>87</v>
      </c>
      <c r="G26" s="49"/>
      <c r="H26" s="49"/>
      <c r="I26" s="49"/>
      <c r="J26" s="49"/>
      <c r="K26" s="49"/>
      <c r="L26" s="49"/>
      <c r="M26" s="49"/>
      <c r="N26" s="49"/>
      <c r="O26" s="49"/>
      <c r="P26" s="49"/>
      <c r="Q26" s="49"/>
      <c r="R26" s="49"/>
      <c r="S26" s="49"/>
      <c r="T26" s="49"/>
      <c r="U26" s="53" t="s">
        <v>87</v>
      </c>
      <c r="V26" s="50"/>
      <c r="W26" s="50"/>
      <c r="X26" s="50"/>
      <c r="Y26" s="50"/>
      <c r="Z26" s="50"/>
      <c r="AA26" s="50"/>
      <c r="AB26" s="50"/>
      <c r="AC26" s="50"/>
      <c r="AD26" s="50"/>
      <c r="AE26" s="50"/>
      <c r="AF26" s="55"/>
      <c r="AG26" s="55"/>
      <c r="AH26" s="55"/>
      <c r="AI26" s="55"/>
    </row>
    <row r="27" spans="1:35" x14ac:dyDescent="0.2">
      <c r="A27" s="62" t="s">
        <v>4</v>
      </c>
      <c r="B27" s="83" cm="1">
        <f t="array" ref="B27">SUMPRODUCT((TRIM('DATA INPUT'!$Q$3:$Q$8999)=$A27)*'DATA INPUT'!$L$3:$L$8999)</f>
        <v>147</v>
      </c>
      <c r="C27" s="83">
        <f>B27+D27</f>
        <v>149.10764</v>
      </c>
      <c r="D27" s="77" cm="1">
        <f t="array" ref="D27">SUMPRODUCT((TRIM('DATA INPUT'!$Q$3:$Q$8999)=$A27)*'DATA INPUT'!$U$3:$U$8999)</f>
        <v>2.10764</v>
      </c>
      <c r="E27" s="84">
        <f>IFERROR(D27/B27,0)</f>
        <v>1.4337687074829932E-2</v>
      </c>
      <c r="F27" s="53"/>
      <c r="G27" s="63" cm="1">
        <f t="array" ref="G27">SUMPRODUCT((TRIM('DATA INPUT'!$Q$3:$Q$8999)=$A27)*('DATA INPUT'!$M$3:$M$8999&gt;=1)*('DATA INPUT'!$M$3:$M$8999&lt;2)*'DATA INPUT'!$U$3:$U$8999)</f>
        <v>0</v>
      </c>
      <c r="H27" s="63" cm="1">
        <f t="array" ref="H27">SUMPRODUCT((TRIM('DATA INPUT'!$Q$3:$Q$8999)=$A27)*('DATA INPUT'!$M$3:$M$8999&gt;=2)*('DATA INPUT'!$M$3:$M$8999&lt;3)*'DATA INPUT'!$U$3:$U$8999)</f>
        <v>0</v>
      </c>
      <c r="I27" s="63" cm="1">
        <f t="array" ref="I27">SUMPRODUCT((TRIM('DATA INPUT'!$Q$3:$Q$8999)=$A27)*('DATA INPUT'!$M$3:$M$8999&gt;=3)*('DATA INPUT'!$M$3:$M$8999&lt;4)*'DATA INPUT'!$U$3:$U$8999)</f>
        <v>0</v>
      </c>
      <c r="J27" s="63" cm="1">
        <f t="array" ref="J27">SUMPRODUCT((TRIM('DATA INPUT'!$Q$3:$Q$8999)=$A27)*('DATA INPUT'!$M$3:$M$8999&gt;=4)*('DATA INPUT'!$M$3:$M$8999&lt;5)*'DATA INPUT'!$U$3:$U$8999)</f>
        <v>0</v>
      </c>
      <c r="K27" s="63" cm="1">
        <f t="array" ref="K27">SUMPRODUCT((TRIM('DATA INPUT'!$Q$3:$Q$8999)=$A27)*('DATA INPUT'!$M$3:$M$8999&gt;=5)*('DATA INPUT'!$M$3:$M$8999&lt;6)*'DATA INPUT'!$U$3:$U$8999)</f>
        <v>0</v>
      </c>
      <c r="L27" s="63" cm="1">
        <f t="array" ref="L27">SUMPRODUCT((TRIM('DATA INPUT'!$Q$3:$Q$8999)=$A27)*('DATA INPUT'!$M$3:$M$8999&gt;=6)*('DATA INPUT'!$M$3:$M$8999&lt;7)*'DATA INPUT'!$U$3:$U$8999)</f>
        <v>-5.8799999999999741E-2</v>
      </c>
      <c r="M27" s="63" cm="1">
        <f t="array" ref="M27">SUMPRODUCT((TRIM('DATA INPUT'!$Q$3:$Q$8999)=$A27)*('DATA INPUT'!$M$3:$M$8999&gt;=7)*('DATA INPUT'!$M$3:$M$8999&lt;8)*'DATA INPUT'!$U$3:$U$8999)</f>
        <v>1.8279999999999998</v>
      </c>
      <c r="N27" s="63" cm="1">
        <f t="array" ref="N27">SUMPRODUCT((TRIM('DATA INPUT'!$Q$3:$Q$8999)=$A27)*('DATA INPUT'!$M$3:$M$8999&gt;=8)*('DATA INPUT'!$M$3:$M$8999&lt;9)*'DATA INPUT'!$U$3:$U$8999)</f>
        <v>-6.2799999999999994</v>
      </c>
      <c r="O27" s="63" cm="1">
        <f t="array" ref="O27">SUMPRODUCT((TRIM('DATA INPUT'!$Q$3:$Q$8999)=$A27)*('DATA INPUT'!$M$3:$M$8999&gt;=9)*('DATA INPUT'!$M$3:$M$8999&lt;10)*'DATA INPUT'!$U$3:$U$8999)</f>
        <v>-5.8793600000000001</v>
      </c>
      <c r="P27" s="63" cm="1">
        <f t="array" ref="P27">SUMPRODUCT((TRIM('DATA INPUT'!$Q$3:$Q$8999)=$A27)*('DATA INPUT'!$M$3:$M$8999&gt;=10)*('DATA INPUT'!$M$3:$M$8999&lt;20)*'DATA INPUT'!$U$3:$U$8999)</f>
        <v>21.570000000000004</v>
      </c>
      <c r="Q27" s="63" cm="1">
        <f t="array" ref="Q27">SUMPRODUCT((TRIM('DATA INPUT'!$Q$3:$Q$8999)=$A27)*('DATA INPUT'!$M$3:$M$8999&gt;=20)*('DATA INPUT'!$M$3:$M$8999&lt;30)*'DATA INPUT'!$U$3:$U$8999)</f>
        <v>-2.0721999999999987</v>
      </c>
      <c r="R27" s="63" cm="1">
        <f t="array" ref="R27">SUMPRODUCT((TRIM('DATA INPUT'!$Q$3:$Q$8999)=$A27)*('DATA INPUT'!$M$3:$M$8999&gt;=30)*('DATA INPUT'!$M$3:$M$8999&lt;40)*'DATA INPUT'!$U$3:$U$8999)</f>
        <v>-7</v>
      </c>
      <c r="S27" s="63" cm="1">
        <f t="array" ref="S27">SUMPRODUCT((TRIM('DATA INPUT'!$Q$3:$Q$8999)=$A27)*('DATA INPUT'!$M$3:$M$8999&gt;=40)*('DATA INPUT'!$M$3:$M$8999&lt;50)*'DATA INPUT'!$U$3:$U$8999)</f>
        <v>0</v>
      </c>
      <c r="T27" s="63" cm="1">
        <f t="array" ref="T27">SUMPRODUCT((TRIM('DATA INPUT'!$Q$3:$Q$8999)=$A27)*('DATA INPUT'!$M$3:$M$8999&gt;=50)*'DATA INPUT'!$U$3:$U$8999)</f>
        <v>0</v>
      </c>
      <c r="U27" s="53" t="s">
        <v>87</v>
      </c>
      <c r="V27" s="68" cm="1">
        <f t="array" ref="V27">IFERROR(SUMPRODUCT((TRIM('DATA INPUT'!$Q$3:$Q$8999)=$A27)*('DATA INPUT'!$M$3:$M$8999&gt;=1)*('DATA INPUT'!$M$3:$M$8999&lt;2)*'DATA INPUT'!$U$3:$U$8999)/SUMPRODUCT((TRIM('DATA INPUT'!$Q$3:$Q$8999)=$A27)*('DATA INPUT'!$M$3:$M$8999&gt;=1)*('DATA INPUT'!$M$3:$M$8999&lt;2)*'DATA INPUT'!$L$3:$L$8999),0)</f>
        <v>0</v>
      </c>
      <c r="W27" s="68" cm="1">
        <f t="array" ref="W27">IFERROR(SUMPRODUCT((TRIM('DATA INPUT'!$Q$3:$Q$8999)=$A27)*('DATA INPUT'!$M$3:$M$8999&gt;=2)*('DATA INPUT'!$M$3:$M$8999&lt;3)*'DATA INPUT'!$U$3:$U$8999)/SUMPRODUCT((TRIM('DATA INPUT'!$Q$3:$Q$8999)=$A27)*('DATA INPUT'!$M$3:$M$8999&gt;=2)*('DATA INPUT'!$M$3:$M$8999&lt;3)*'DATA INPUT'!$L$3:$L$8999),0)</f>
        <v>0</v>
      </c>
      <c r="X27" s="68" cm="1">
        <f t="array" ref="X27">IFERROR(SUMPRODUCT((TRIM('DATA INPUT'!$Q$3:$Q$8999)=$A27)*('DATA INPUT'!$M$3:$M$8999&gt;=3)*('DATA INPUT'!$M$3:$M$8999&lt;4)*'DATA INPUT'!$U$3:$U$8999)/SUMPRODUCT((TRIM('DATA INPUT'!$Q$3:$Q$8999)=$A27)*('DATA INPUT'!$M$3:$M$8999&gt;=3)*('DATA INPUT'!$M$3:$M$8999&lt;4)*'DATA INPUT'!$L$3:$L$8999),0)</f>
        <v>0</v>
      </c>
      <c r="Y27" s="68" cm="1">
        <f t="array" ref="Y27">IFERROR(SUMPRODUCT((TRIM('DATA INPUT'!$Q$3:$Q$8999)=$A27)*('DATA INPUT'!$M$3:$M$8999&gt;=4)*('DATA INPUT'!$M$3:$M$8999&lt;5)*'DATA INPUT'!$U$3:$U$8999)/SUMPRODUCT((TRIM('DATA INPUT'!$Q$3:$Q$8999)=$A27)*('DATA INPUT'!$M$3:$M$8999&gt;=4)*('DATA INPUT'!$M$3:$M$8999&lt;5)*'DATA INPUT'!$L$3:$L$8999),0)</f>
        <v>0</v>
      </c>
      <c r="Z27" s="68" cm="1">
        <f t="array" ref="Z27">IFERROR(SUMPRODUCT((TRIM('DATA INPUT'!$Q$3:$Q$8999)=$A27)*('DATA INPUT'!$M$3:$M$8999&gt;=5)*('DATA INPUT'!$M$3:$M$8999&lt;6)*'DATA INPUT'!$U$3:$U$8999)/SUMPRODUCT((TRIM('DATA INPUT'!$Q$3:$Q$8999)=$A27)*('DATA INPUT'!$M$3:$M$8999&gt;=5)*('DATA INPUT'!$M$3:$M$8999&lt;6)*'DATA INPUT'!$L$3:$L$8999),0)</f>
        <v>0</v>
      </c>
      <c r="AA27" s="68" cm="1">
        <f t="array" ref="AA27">IFERROR(SUMPRODUCT((TRIM('DATA INPUT'!$Q$3:$Q$8999)=$A27)*('DATA INPUT'!$M$3:$M$8999&gt;=6)*('DATA INPUT'!$M$3:$M$8999&lt;7)*'DATA INPUT'!$U$3:$U$8999)/SUMPRODUCT((TRIM('DATA INPUT'!$Q$3:$Q$8999)=$A27)*('DATA INPUT'!$M$3:$M$8999&gt;=6)*('DATA INPUT'!$M$3:$M$8999&lt;7)*'DATA INPUT'!$L$3:$L$8999),0)</f>
        <v>-1.6799999999999926E-2</v>
      </c>
      <c r="AB27" s="68" cm="1">
        <f t="array" ref="AB27">IFERROR(SUMPRODUCT((TRIM('DATA INPUT'!$Q$3:$Q$8999)=$A27)*('DATA INPUT'!$M$3:$M$8999&gt;=7)*('DATA INPUT'!$M$3:$M$8999&lt;8)*'DATA INPUT'!$U$3:$U$8999)/SUMPRODUCT((TRIM('DATA INPUT'!$Q$3:$Q$8999)=$A27)*('DATA INPUT'!$M$3:$M$8999&gt;=7)*('DATA INPUT'!$M$3:$M$8999&lt;8)*'DATA INPUT'!$L$3:$L$8999),0)</f>
        <v>0.91399999999999992</v>
      </c>
      <c r="AC27" s="68" cm="1">
        <f t="array" ref="AC27">IFERROR(SUMPRODUCT((TRIM('DATA INPUT'!$Q$3:$Q$8999)=$A27)*('DATA INPUT'!$M$3:$M$8999&gt;=8)*('DATA INPUT'!$M$3:$M$8999&lt;9)*'DATA INPUT'!$U$3:$U$8999)/SUMPRODUCT((TRIM('DATA INPUT'!$Q$3:$Q$8999)=$A27)*('DATA INPUT'!$M$3:$M$8999&gt;=8)*('DATA INPUT'!$M$3:$M$8999&lt;9)*'DATA INPUT'!$L$3:$L$8999),0)</f>
        <v>-0.57090909090909081</v>
      </c>
      <c r="AD27" s="68" cm="1">
        <f t="array" ref="AD27">IFERROR(SUMPRODUCT((TRIM('DATA INPUT'!$Q$3:$Q$8999)=$A27)*('DATA INPUT'!$M$3:$M$8999&gt;=9)*('DATA INPUT'!$M$3:$M$8999&lt;10)*'DATA INPUT'!$U$3:$U$8999)/SUMPRODUCT((TRIM('DATA INPUT'!$Q$3:$Q$8999)=$A27)*('DATA INPUT'!$M$3:$M$8999&gt;=9)*('DATA INPUT'!$M$3:$M$8999&lt;10)*'DATA INPUT'!$L$3:$L$8999),0)</f>
        <v>-0.55993904761904767</v>
      </c>
      <c r="AE27" s="68" cm="1">
        <f t="array" ref="AE27">IFERROR(SUMPRODUCT((TRIM('DATA INPUT'!$Q$3:$Q$8999)=$A27)*('DATA INPUT'!$M$3:$M$8999&gt;=10)*('DATA INPUT'!$M$3:$M$8999&lt;20)*'DATA INPUT'!$U$3:$U$8999)/SUMPRODUCT((TRIM('DATA INPUT'!$Q$3:$Q$8999)=$A27)*('DATA INPUT'!$M$3:$M$8999&gt;=10)*('DATA INPUT'!$M$3:$M$8999&lt;20)*'DATA INPUT'!$L$3:$L$8999),0)</f>
        <v>0.28953020134228191</v>
      </c>
      <c r="AF27" s="70" cm="1">
        <f t="array" ref="AF27">IFERROR(SUMPRODUCT((TRIM('DATA INPUT'!$Q$3:$Q$8999)=$A27)*('DATA INPUT'!$M$3:$M$8999&gt;=20)*('DATA INPUT'!$M$3:$M$8999&lt;30)*'DATA INPUT'!$U$3:$U$8999)/SUMPRODUCT((TRIM('DATA INPUT'!$Q$3:$Q$8999)=$A27)*('DATA INPUT'!$M$3:$M$8999&gt;=20)*('DATA INPUT'!$M$3:$M$8999&lt;30)*'DATA INPUT'!$L$3:$L$8999),0)</f>
        <v>-5.3823376623376593E-2</v>
      </c>
      <c r="AG27" s="70" cm="1">
        <f t="array" ref="AG27">IFERROR(SUMPRODUCT((TRIM('DATA INPUT'!$Q$3:$Q$8999)=$A27)*('DATA INPUT'!$M$3:$M$8999&gt;=30)*('DATA INPUT'!$M$3:$M$8999&lt;40)*'DATA INPUT'!$U$3:$U$8999)/SUMPRODUCT((TRIM('DATA INPUT'!$Q$3:$Q$8999)=$A27)*('DATA INPUT'!$M$3:$M$8999&gt;=30)*('DATA INPUT'!$M$3:$M$8999&lt;40)*'DATA INPUT'!$L$3:$L$8999),0)</f>
        <v>-1</v>
      </c>
      <c r="AH27" s="70" cm="1">
        <f t="array" ref="AH27">IFERROR(SUMPRODUCT((TRIM('DATA INPUT'!$Q$3:$Q$8999)=$A27)*('DATA INPUT'!$M$3:$M$8999&gt;=40)*('DATA INPUT'!$M$3:$M$8999&lt;50)*'DATA INPUT'!$U$3:$U$8999)/SUMPRODUCT((TRIM('DATA INPUT'!$Q$3:$Q$8999)=$A27)*('DATA INPUT'!$M$3:$M$8999&gt;=40)*('DATA INPUT'!$M$3:$M$8999&lt;50)*'DATA INPUT'!$L$3:$L$8999),0)</f>
        <v>0</v>
      </c>
      <c r="AI27" s="70" cm="1">
        <f t="array" ref="AI27">IFERROR(SUMPRODUCT((TRIM('DATA INPUT'!$Q$3:$Q$8999)=$A27)*('DATA INPUT'!$M$3:$M$8999&gt;=50)*'DATA INPUT'!$U$3:$U$8999)/SUMPRODUCT((TRIM('DATA INPUT'!$Q$3:$Q$8999)=$A27)*('DATA INPUT'!$M$3:$M$8999&gt;=50)*'DATA INPUT'!$L$3:$L$8999),0)</f>
        <v>0</v>
      </c>
    </row>
    <row r="28" spans="1:35" x14ac:dyDescent="0.2">
      <c r="A28" s="62" t="s">
        <v>89</v>
      </c>
      <c r="B28" s="83" cm="1">
        <f t="array" ref="B28">SUMPRODUCT((TRIM('DATA INPUT'!$Q$3:$Q$8999)=$A28)*'DATA INPUT'!$L$3:$L$8999)</f>
        <v>4.0000000000000009</v>
      </c>
      <c r="C28" s="83">
        <f>B28+D28</f>
        <v>4.8290400000000027</v>
      </c>
      <c r="D28" s="83" cm="1">
        <f t="array" ref="D28">SUMPRODUCT((TRIM('DATA INPUT'!$Q$3:$Q$8999)=$A28)*'DATA INPUT'!$U$3:$U$8999)</f>
        <v>0.829040000000002</v>
      </c>
      <c r="E28" s="84">
        <f>IFERROR(D28/B28,0)</f>
        <v>0.20726000000000044</v>
      </c>
      <c r="F28" s="53"/>
      <c r="G28" s="63" cm="1">
        <f t="array" ref="G28">SUMPRODUCT((TRIM('DATA INPUT'!$Q$3:$Q$8999)=$A28)*('DATA INPUT'!$M$3:$M$8999&gt;=1)*('DATA INPUT'!$M$3:$M$8999&lt;2)*'DATA INPUT'!$U$3:$U$8999)</f>
        <v>0</v>
      </c>
      <c r="H28" s="63" cm="1">
        <f t="array" ref="H28">SUMPRODUCT((TRIM('DATA INPUT'!$Q$3:$Q$8999)=$A28)*('DATA INPUT'!$M$3:$M$8999&gt;=2)*('DATA INPUT'!$M$3:$M$8999&lt;3)*'DATA INPUT'!$U$3:$U$8999)</f>
        <v>0.64399999999999991</v>
      </c>
      <c r="I28" s="63" cm="1">
        <f t="array" ref="I28">SUMPRODUCT((TRIM('DATA INPUT'!$Q$3:$Q$8999)=$A28)*('DATA INPUT'!$M$3:$M$8999&gt;=3)*('DATA INPUT'!$M$3:$M$8999&lt;4)*'DATA INPUT'!$U$3:$U$8999)</f>
        <v>-0.4</v>
      </c>
      <c r="J28" s="63" cm="1">
        <f t="array" ref="J28">SUMPRODUCT((TRIM('DATA INPUT'!$Q$3:$Q$8999)=$A28)*('DATA INPUT'!$M$3:$M$8999&gt;=4)*('DATA INPUT'!$M$3:$M$8999&lt;5)*'DATA INPUT'!$U$3:$U$8999)</f>
        <v>0.66104000000000163</v>
      </c>
      <c r="K28" s="63" cm="1">
        <f t="array" ref="K28">SUMPRODUCT((TRIM('DATA INPUT'!$Q$3:$Q$8999)=$A28)*('DATA INPUT'!$M$3:$M$8999&gt;=5)*('DATA INPUT'!$M$3:$M$8999&lt;6)*'DATA INPUT'!$U$3:$U$8999)</f>
        <v>0.52400000000000002</v>
      </c>
      <c r="L28" s="63" cm="1">
        <f t="array" ref="L28">SUMPRODUCT((TRIM('DATA INPUT'!$Q$3:$Q$8999)=$A28)*('DATA INPUT'!$M$3:$M$8999&gt;=6)*('DATA INPUT'!$M$3:$M$8999&lt;7)*'DATA INPUT'!$U$3:$U$8999)</f>
        <v>-0.2</v>
      </c>
      <c r="M28" s="63" cm="1">
        <f t="array" ref="M28">SUMPRODUCT((TRIM('DATA INPUT'!$Q$3:$Q$8999)=$A28)*('DATA INPUT'!$M$3:$M$8999&gt;=7)*('DATA INPUT'!$M$3:$M$8999&lt;8)*'DATA INPUT'!$U$3:$U$8999)</f>
        <v>-0.4</v>
      </c>
      <c r="N28" s="63" cm="1">
        <f t="array" ref="N28">SUMPRODUCT((TRIM('DATA INPUT'!$Q$3:$Q$8999)=$A28)*('DATA INPUT'!$M$3:$M$8999&gt;=8)*('DATA INPUT'!$M$3:$M$8999&lt;9)*'DATA INPUT'!$U$3:$U$8999)</f>
        <v>0</v>
      </c>
      <c r="O28" s="63" cm="1">
        <f t="array" ref="O28">SUMPRODUCT((TRIM('DATA INPUT'!$Q$3:$Q$8999)=$A28)*('DATA INPUT'!$M$3:$M$8999&gt;=9)*('DATA INPUT'!$M$3:$M$8999&lt;10)*'DATA INPUT'!$U$3:$U$8999)</f>
        <v>0</v>
      </c>
      <c r="P28" s="63" cm="1">
        <f t="array" ref="P28">SUMPRODUCT((TRIM('DATA INPUT'!$Q$3:$Q$8999)=$A28)*('DATA INPUT'!$M$3:$M$8999&gt;=10)*('DATA INPUT'!$M$3:$M$8999&lt;20)*'DATA INPUT'!$U$3:$U$8999)</f>
        <v>0</v>
      </c>
      <c r="Q28" s="63" cm="1">
        <f t="array" ref="Q28">SUMPRODUCT((TRIM('DATA INPUT'!$Q$3:$Q$8999)=$A28)*('DATA INPUT'!$M$3:$M$8999&gt;=20)*('DATA INPUT'!$M$3:$M$8999&lt;30)*'DATA INPUT'!$U$3:$U$8999)</f>
        <v>0</v>
      </c>
      <c r="R28" s="63" cm="1">
        <f t="array" ref="R28">SUMPRODUCT((TRIM('DATA INPUT'!$Q$3:$Q$8999)=$A28)*('DATA INPUT'!$M$3:$M$8999&gt;=30)*('DATA INPUT'!$M$3:$M$8999&lt;40)*'DATA INPUT'!$U$3:$U$8999)</f>
        <v>0</v>
      </c>
      <c r="S28" s="63" cm="1">
        <f t="array" ref="S28">SUMPRODUCT((TRIM('DATA INPUT'!$Q$3:$Q$8999)=$A28)*('DATA INPUT'!$M$3:$M$8999&gt;=40)*('DATA INPUT'!$M$3:$M$8999&lt;50)*'DATA INPUT'!$U$3:$U$8999)</f>
        <v>0</v>
      </c>
      <c r="T28" s="63" cm="1">
        <f t="array" ref="T28">SUMPRODUCT((TRIM('DATA INPUT'!$Q$3:$Q$8999)=$A28)*('DATA INPUT'!$M$3:$M$8999&gt;=50)*'DATA INPUT'!$U$3:$U$8999)</f>
        <v>0</v>
      </c>
      <c r="U28" s="53" t="s">
        <v>87</v>
      </c>
      <c r="V28" s="68" cm="1">
        <f t="array" ref="V28">IFERROR(SUMPRODUCT((TRIM('DATA INPUT'!$Q$3:$Q$8999)=$A28)*('DATA INPUT'!$M$3:$M$8999&gt;=1)*('DATA INPUT'!$M$3:$M$8999&lt;2)*'DATA INPUT'!$U$3:$U$8999)/SUMPRODUCT((TRIM('DATA INPUT'!$Q$3:$Q$8999)=$A28)*('DATA INPUT'!$M$3:$M$8999&gt;=1)*('DATA INPUT'!$M$3:$M$8999&lt;2)*'DATA INPUT'!$L$3:$L$8999),0)</f>
        <v>0</v>
      </c>
      <c r="W28" s="68" cm="1">
        <f t="array" ref="W28">IFERROR(SUMPRODUCT((TRIM('DATA INPUT'!$Q$3:$Q$8999)=$A28)*('DATA INPUT'!$M$3:$M$8999&gt;=2)*('DATA INPUT'!$M$3:$M$8999&lt;3)*'DATA INPUT'!$U$3:$U$8999)/SUMPRODUCT((TRIM('DATA INPUT'!$Q$3:$Q$8999)=$A28)*('DATA INPUT'!$M$3:$M$8999&gt;=2)*('DATA INPUT'!$M$3:$M$8999&lt;3)*'DATA INPUT'!$L$3:$L$8999),0)</f>
        <v>0.64399999999999991</v>
      </c>
      <c r="X28" s="68" cm="1">
        <f t="array" ref="X28">IFERROR(SUMPRODUCT((TRIM('DATA INPUT'!$Q$3:$Q$8999)=$A28)*('DATA INPUT'!$M$3:$M$8999&gt;=3)*('DATA INPUT'!$M$3:$M$8999&lt;4)*'DATA INPUT'!$U$3:$U$8999)/SUMPRODUCT((TRIM('DATA INPUT'!$Q$3:$Q$8999)=$A28)*('DATA INPUT'!$M$3:$M$8999&gt;=3)*('DATA INPUT'!$M$3:$M$8999&lt;4)*'DATA INPUT'!$L$3:$L$8999),0)</f>
        <v>-1</v>
      </c>
      <c r="Y28" s="68" cm="1">
        <f t="array" ref="Y28">IFERROR(SUMPRODUCT((TRIM('DATA INPUT'!$Q$3:$Q$8999)=$A28)*('DATA INPUT'!$M$3:$M$8999&gt;=4)*('DATA INPUT'!$M$3:$M$8999&lt;5)*'DATA INPUT'!$U$3:$U$8999)/SUMPRODUCT((TRIM('DATA INPUT'!$Q$3:$Q$8999)=$A28)*('DATA INPUT'!$M$3:$M$8999&gt;=4)*('DATA INPUT'!$M$3:$M$8999&lt;5)*'DATA INPUT'!$L$3:$L$8999),0)</f>
        <v>0.47217142857142974</v>
      </c>
      <c r="Z28" s="68" cm="1">
        <f t="array" ref="Z28">IFERROR(SUMPRODUCT((TRIM('DATA INPUT'!$Q$3:$Q$8999)=$A28)*('DATA INPUT'!$M$3:$M$8999&gt;=5)*('DATA INPUT'!$M$3:$M$8999&lt;6)*'DATA INPUT'!$U$3:$U$8999)/SUMPRODUCT((TRIM('DATA INPUT'!$Q$3:$Q$8999)=$A28)*('DATA INPUT'!$M$3:$M$8999&gt;=5)*('DATA INPUT'!$M$3:$M$8999&lt;6)*'DATA INPUT'!$L$3:$L$8999),0)</f>
        <v>0.87333333333333329</v>
      </c>
      <c r="AA28" s="68" cm="1">
        <f t="array" ref="AA28">IFERROR(SUMPRODUCT((TRIM('DATA INPUT'!$Q$3:$Q$8999)=$A28)*('DATA INPUT'!$M$3:$M$8999&gt;=6)*('DATA INPUT'!$M$3:$M$8999&lt;7)*'DATA INPUT'!$U$3:$U$8999)/SUMPRODUCT((TRIM('DATA INPUT'!$Q$3:$Q$8999)=$A28)*('DATA INPUT'!$M$3:$M$8999&gt;=6)*('DATA INPUT'!$M$3:$M$8999&lt;7)*'DATA INPUT'!$L$3:$L$8999),0)</f>
        <v>-1</v>
      </c>
      <c r="AB28" s="68" cm="1">
        <f t="array" ref="AB28">IFERROR(SUMPRODUCT((TRIM('DATA INPUT'!$Q$3:$Q$8999)=$A28)*('DATA INPUT'!$M$3:$M$8999&gt;=7)*('DATA INPUT'!$M$3:$M$8999&lt;8)*'DATA INPUT'!$U$3:$U$8999)/SUMPRODUCT((TRIM('DATA INPUT'!$Q$3:$Q$8999)=$A28)*('DATA INPUT'!$M$3:$M$8999&gt;=7)*('DATA INPUT'!$M$3:$M$8999&lt;8)*'DATA INPUT'!$L$3:$L$8999),0)</f>
        <v>-1</v>
      </c>
      <c r="AC28" s="68" cm="1">
        <f t="array" ref="AC28">IFERROR(SUMPRODUCT((TRIM('DATA INPUT'!$Q$3:$Q$8999)=$A28)*('DATA INPUT'!$M$3:$M$8999&gt;=8)*('DATA INPUT'!$M$3:$M$8999&lt;9)*'DATA INPUT'!$U$3:$U$8999)/SUMPRODUCT((TRIM('DATA INPUT'!$Q$3:$Q$8999)=$A28)*('DATA INPUT'!$M$3:$M$8999&gt;=8)*('DATA INPUT'!$M$3:$M$8999&lt;9)*'DATA INPUT'!$L$3:$L$8999),0)</f>
        <v>0</v>
      </c>
      <c r="AD28" s="68" cm="1">
        <f t="array" ref="AD28">IFERROR(SUMPRODUCT((TRIM('DATA INPUT'!$Q$3:$Q$8999)=$A28)*('DATA INPUT'!$M$3:$M$8999&gt;=9)*('DATA INPUT'!$M$3:$M$8999&lt;10)*'DATA INPUT'!$U$3:$U$8999)/SUMPRODUCT((TRIM('DATA INPUT'!$Q$3:$Q$8999)=$A28)*('DATA INPUT'!$M$3:$M$8999&gt;=9)*('DATA INPUT'!$M$3:$M$8999&lt;10)*'DATA INPUT'!$L$3:$L$8999),0)</f>
        <v>0</v>
      </c>
      <c r="AE28" s="68" cm="1">
        <f t="array" ref="AE28">IFERROR(SUMPRODUCT((TRIM('DATA INPUT'!$Q$3:$Q$8999)=$A28)*('DATA INPUT'!$M$3:$M$8999&gt;=10)*('DATA INPUT'!$M$3:$M$8999&lt;20)*'DATA INPUT'!$U$3:$U$8999)/SUMPRODUCT((TRIM('DATA INPUT'!$Q$3:$Q$8999)=$A28)*('DATA INPUT'!$M$3:$M$8999&gt;=10)*('DATA INPUT'!$M$3:$M$8999&lt;20)*'DATA INPUT'!$L$3:$L$8999),0)</f>
        <v>0</v>
      </c>
      <c r="AF28" s="70" cm="1">
        <f t="array" ref="AF28">IFERROR(SUMPRODUCT((TRIM('DATA INPUT'!$Q$3:$Q$8999)=$A28)*('DATA INPUT'!$M$3:$M$8999&gt;=20)*('DATA INPUT'!$M$3:$M$8999&lt;30)*'DATA INPUT'!$U$3:$U$8999)/SUMPRODUCT((TRIM('DATA INPUT'!$Q$3:$Q$8999)=$A28)*('DATA INPUT'!$M$3:$M$8999&gt;=20)*('DATA INPUT'!$M$3:$M$8999&lt;30)*'DATA INPUT'!$L$3:$L$8999),0)</f>
        <v>0</v>
      </c>
      <c r="AG28" s="70" cm="1">
        <f t="array" ref="AG28">IFERROR(SUMPRODUCT((TRIM('DATA INPUT'!$Q$3:$Q$8999)=$A28)*('DATA INPUT'!$M$3:$M$8999&gt;=30)*('DATA INPUT'!$M$3:$M$8999&lt;40)*'DATA INPUT'!$U$3:$U$8999)/SUMPRODUCT((TRIM('DATA INPUT'!$Q$3:$Q$8999)=$A28)*('DATA INPUT'!$M$3:$M$8999&gt;=30)*('DATA INPUT'!$M$3:$M$8999&lt;40)*'DATA INPUT'!$L$3:$L$8999),0)</f>
        <v>0</v>
      </c>
      <c r="AH28" s="70" cm="1">
        <f t="array" ref="AH28">IFERROR(SUMPRODUCT((TRIM('DATA INPUT'!$Q$3:$Q$8999)=$A28)*('DATA INPUT'!$M$3:$M$8999&gt;=40)*('DATA INPUT'!$M$3:$M$8999&lt;50)*'DATA INPUT'!$U$3:$U$8999)/SUMPRODUCT((TRIM('DATA INPUT'!$Q$3:$Q$8999)=$A28)*('DATA INPUT'!$M$3:$M$8999&gt;=40)*('DATA INPUT'!$M$3:$M$8999&lt;50)*'DATA INPUT'!$L$3:$L$8999),0)</f>
        <v>0</v>
      </c>
      <c r="AI28" s="70" cm="1">
        <f t="array" ref="AI28">IFERROR(SUMPRODUCT((TRIM('DATA INPUT'!$Q$3:$Q$8999)=$A28)*('DATA INPUT'!$M$3:$M$8999&gt;=50)*'DATA INPUT'!$U$3:$U$8999)/SUMPRODUCT((TRIM('DATA INPUT'!$Q$3:$Q$8999)=$A28)*('DATA INPUT'!$M$3:$M$8999&gt;=50)*'DATA INPUT'!$L$3:$L$8999),0)</f>
        <v>0</v>
      </c>
    </row>
    <row r="29" spans="1:35" x14ac:dyDescent="0.2">
      <c r="A29" s="52" t="s">
        <v>87</v>
      </c>
      <c r="B29" s="83"/>
      <c r="C29" s="83"/>
      <c r="D29" s="83"/>
      <c r="E29" s="84"/>
      <c r="F29" s="53"/>
      <c r="G29" s="63"/>
      <c r="H29" s="63"/>
      <c r="I29" s="63"/>
      <c r="J29" s="63"/>
      <c r="K29" s="63"/>
      <c r="L29" s="63"/>
      <c r="M29" s="63"/>
      <c r="N29" s="63"/>
      <c r="O29" s="63"/>
      <c r="P29" s="63"/>
      <c r="Q29" s="63"/>
      <c r="R29" s="63"/>
      <c r="S29" s="63"/>
      <c r="T29" s="63"/>
      <c r="U29" s="53" t="s">
        <v>87</v>
      </c>
      <c r="V29" s="68"/>
      <c r="W29" s="68"/>
      <c r="X29" s="68"/>
      <c r="Y29" s="68"/>
      <c r="Z29" s="68"/>
      <c r="AA29" s="68"/>
      <c r="AB29" s="68"/>
      <c r="AC29" s="68"/>
      <c r="AD29" s="68"/>
      <c r="AE29" s="68"/>
      <c r="AF29" s="70"/>
      <c r="AG29" s="70"/>
      <c r="AH29" s="70"/>
      <c r="AI29" s="70"/>
    </row>
    <row r="30" spans="1:35" x14ac:dyDescent="0.2">
      <c r="A30" s="56" t="s">
        <v>70</v>
      </c>
      <c r="B30" s="85">
        <f>SUM(B27:B28)</f>
        <v>151</v>
      </c>
      <c r="C30" s="85">
        <f>SUM(C27:C28)</f>
        <v>153.93668</v>
      </c>
      <c r="D30" s="85">
        <f>SUM(D27:D28)</f>
        <v>2.9366800000000017</v>
      </c>
      <c r="E30" s="86">
        <f>IFERROR(D30/B30,0)</f>
        <v>1.9448211920529812E-2</v>
      </c>
      <c r="F30" s="57"/>
      <c r="G30" s="59">
        <f t="shared" ref="G30:T30" si="5">SUM(G27:G28)</f>
        <v>0</v>
      </c>
      <c r="H30" s="59">
        <f t="shared" si="5"/>
        <v>0.64399999999999991</v>
      </c>
      <c r="I30" s="59">
        <f t="shared" si="5"/>
        <v>-0.4</v>
      </c>
      <c r="J30" s="59">
        <f t="shared" si="5"/>
        <v>0.66104000000000163</v>
      </c>
      <c r="K30" s="59">
        <f t="shared" si="5"/>
        <v>0.52400000000000002</v>
      </c>
      <c r="L30" s="59">
        <f t="shared" si="5"/>
        <v>-0.25879999999999975</v>
      </c>
      <c r="M30" s="59">
        <f t="shared" si="5"/>
        <v>1.4279999999999999</v>
      </c>
      <c r="N30" s="59">
        <f t="shared" si="5"/>
        <v>-6.2799999999999994</v>
      </c>
      <c r="O30" s="59">
        <f t="shared" si="5"/>
        <v>-5.8793600000000001</v>
      </c>
      <c r="P30" s="59">
        <f t="shared" si="5"/>
        <v>21.570000000000004</v>
      </c>
      <c r="Q30" s="59">
        <f t="shared" si="5"/>
        <v>-2.0721999999999987</v>
      </c>
      <c r="R30" s="59">
        <f t="shared" si="5"/>
        <v>-7</v>
      </c>
      <c r="S30" s="59">
        <f t="shared" si="5"/>
        <v>0</v>
      </c>
      <c r="T30" s="59">
        <f t="shared" si="5"/>
        <v>0</v>
      </c>
      <c r="U30" s="57" t="s">
        <v>87</v>
      </c>
      <c r="V30" s="61" cm="1">
        <f t="array" ref="V30">IFERROR(SUMPRODUCT(((TRIM('DATA INPUT'!$Q$3:$Q$8999)="Win")+(TRIM('DATA INPUT'!$Q$3:$Q$8999)="Place"))*('DATA INPUT'!$M$3:$M$8999&gt;=1)*('DATA INPUT'!$M$3:$M$8999&lt;2)*'DATA INPUT'!$U$3:$U$8999)/SUMPRODUCT(((TRIM('DATA INPUT'!$Q$3:$Q$8999)="Win")+(TRIM('DATA INPUT'!$Q$3:$Q$8999)="Place"))*('DATA INPUT'!$M$3:$M$8999&gt;=1)*('DATA INPUT'!$M$3:$M$8999&lt;2)*'DATA INPUT'!$L$3:$L$8999),0)</f>
        <v>0</v>
      </c>
      <c r="W30" s="61" cm="1">
        <f t="array" ref="W30">IFERROR(SUMPRODUCT(((TRIM('DATA INPUT'!$Q$3:$Q$8999)="Win")+(TRIM('DATA INPUT'!$Q$3:$Q$8999)="Place"))*('DATA INPUT'!$M$3:$M$8999&gt;=2)*('DATA INPUT'!$M$3:$M$8999&lt;3)*'DATA INPUT'!$U$3:$U$8999)/SUMPRODUCT(((TRIM('DATA INPUT'!$Q$3:$Q$8999)="Win")+(TRIM('DATA INPUT'!$Q$3:$Q$8999)="Place"))*('DATA INPUT'!$M$3:$M$8999&gt;=2)*('DATA INPUT'!$M$3:$M$8999&lt;3)*'DATA INPUT'!$L$3:$L$8999),0)</f>
        <v>0.64399999999999991</v>
      </c>
      <c r="X30" s="61" cm="1">
        <f t="array" ref="X30">IFERROR(SUMPRODUCT(((TRIM('DATA INPUT'!$Q$3:$Q$8999)="Win")+(TRIM('DATA INPUT'!$Q$3:$Q$8999)="Place"))*('DATA INPUT'!$M$3:$M$8999&gt;=3)*('DATA INPUT'!$M$3:$M$8999&lt;4)*'DATA INPUT'!$U$3:$U$8999)/SUMPRODUCT(((TRIM('DATA INPUT'!$Q$3:$Q$8999)="Win")+(TRIM('DATA INPUT'!$Q$3:$Q$8999)="Place"))*('DATA INPUT'!$M$3:$M$8999&gt;=3)*('DATA INPUT'!$M$3:$M$8999&lt;4)*'DATA INPUT'!$L$3:$L$8999),0)</f>
        <v>-1</v>
      </c>
      <c r="Y30" s="61" cm="1">
        <f t="array" ref="Y30">IFERROR(SUMPRODUCT(((TRIM('DATA INPUT'!$Q$3:$Q$8999)="Win")+(TRIM('DATA INPUT'!$Q$3:$Q$8999)="Place"))*('DATA INPUT'!$M$3:$M$8999&gt;=4)*('DATA INPUT'!$M$3:$M$8999&lt;5)*'DATA INPUT'!$U$3:$U$8999)/SUMPRODUCT(((TRIM('DATA INPUT'!$Q$3:$Q$8999)="Win")+(TRIM('DATA INPUT'!$Q$3:$Q$8999)="Place"))*('DATA INPUT'!$M$3:$M$8999&gt;=4)*('DATA INPUT'!$M$3:$M$8999&lt;5)*'DATA INPUT'!$L$3:$L$8999),0)</f>
        <v>0.47217142857142974</v>
      </c>
      <c r="Z30" s="61" cm="1">
        <f t="array" ref="Z30">IFERROR(SUMPRODUCT(((TRIM('DATA INPUT'!$Q$3:$Q$8999)="Win")+(TRIM('DATA INPUT'!$Q$3:$Q$8999)="Place"))*('DATA INPUT'!$M$3:$M$8999&gt;=5)*('DATA INPUT'!$M$3:$M$8999&lt;6)*'DATA INPUT'!$U$3:$U$8999)/SUMPRODUCT(((TRIM('DATA INPUT'!$Q$3:$Q$8999)="Win")+(TRIM('DATA INPUT'!$Q$3:$Q$8999)="Place"))*('DATA INPUT'!$M$3:$M$8999&gt;=5)*('DATA INPUT'!$M$3:$M$8999&lt;6)*'DATA INPUT'!$L$3:$L$8999),0)</f>
        <v>0.87333333333333329</v>
      </c>
      <c r="AA30" s="61" cm="1">
        <f t="array" ref="AA30">IFERROR(SUMPRODUCT(((TRIM('DATA INPUT'!$Q$3:$Q$8999)="Win")+(TRIM('DATA INPUT'!$Q$3:$Q$8999)="Place"))*('DATA INPUT'!$M$3:$M$8999&gt;=6)*('DATA INPUT'!$M$3:$M$8999&lt;7)*'DATA INPUT'!$U$3:$U$8999)/SUMPRODUCT(((TRIM('DATA INPUT'!$Q$3:$Q$8999)="Win")+(TRIM('DATA INPUT'!$Q$3:$Q$8999)="Place"))*('DATA INPUT'!$M$3:$M$8999&gt;=6)*('DATA INPUT'!$M$3:$M$8999&lt;7)*'DATA INPUT'!$L$3:$L$8999),0)</f>
        <v>-6.9945945945945873E-2</v>
      </c>
      <c r="AB30" s="61" cm="1">
        <f t="array" ref="AB30">IFERROR(SUMPRODUCT(((TRIM('DATA INPUT'!$Q$3:$Q$8999)="Win")+(TRIM('DATA INPUT'!$Q$3:$Q$8999)="Place"))*('DATA INPUT'!$M$3:$M$8999&gt;=7)*('DATA INPUT'!$M$3:$M$8999&lt;8)*'DATA INPUT'!$U$3:$U$8999)/SUMPRODUCT(((TRIM('DATA INPUT'!$Q$3:$Q$8999)="Win")+(TRIM('DATA INPUT'!$Q$3:$Q$8999)="Place"))*('DATA INPUT'!$M$3:$M$8999&gt;=7)*('DATA INPUT'!$M$3:$M$8999&lt;8)*'DATA INPUT'!$L$3:$L$8999),0)</f>
        <v>0.59499999999999986</v>
      </c>
      <c r="AC30" s="61" cm="1">
        <f t="array" ref="AC30">IFERROR(SUMPRODUCT(((TRIM('DATA INPUT'!$Q$3:$Q$8999)="Win")+(TRIM('DATA INPUT'!$Q$3:$Q$8999)="Place"))*('DATA INPUT'!$M$3:$M$8999&gt;=8)*('DATA INPUT'!$M$3:$M$8999&lt;9)*'DATA INPUT'!$U$3:$U$8999)/SUMPRODUCT(((TRIM('DATA INPUT'!$Q$3:$Q$8999)="Win")+(TRIM('DATA INPUT'!$Q$3:$Q$8999)="Place"))*('DATA INPUT'!$M$3:$M$8999&gt;=8)*('DATA INPUT'!$M$3:$M$8999&lt;9)*'DATA INPUT'!$L$3:$L$8999),0)</f>
        <v>-0.57090909090909081</v>
      </c>
      <c r="AD30" s="61" cm="1">
        <f t="array" ref="AD30">IFERROR(SUMPRODUCT(((TRIM('DATA INPUT'!$Q$3:$Q$8999)="Win")+(TRIM('DATA INPUT'!$Q$3:$Q$8999)="Place"))*('DATA INPUT'!$M$3:$M$8999&gt;=9)*('DATA INPUT'!$M$3:$M$8999&lt;10)*'DATA INPUT'!$U$3:$U$8999)/SUMPRODUCT(((TRIM('DATA INPUT'!$Q$3:$Q$8999)="Win")+(TRIM('DATA INPUT'!$Q$3:$Q$8999)="Place"))*('DATA INPUT'!$M$3:$M$8999&gt;=9)*('DATA INPUT'!$M$3:$M$8999&lt;10)*'DATA INPUT'!$L$3:$L$8999),0)</f>
        <v>-0.55993904761904767</v>
      </c>
      <c r="AE30" s="61" cm="1">
        <f t="array" ref="AE30">IFERROR(SUMPRODUCT(((TRIM('DATA INPUT'!$Q$3:$Q$8999)="Win")+(TRIM('DATA INPUT'!$Q$3:$Q$8999)="Place"))*('DATA INPUT'!$M$3:$M$8999&gt;=10)*('DATA INPUT'!$M$3:$M$8999&lt;20)*'DATA INPUT'!$U$3:$U$8999)/SUMPRODUCT(((TRIM('DATA INPUT'!$Q$3:$Q$8999)="Win")+(TRIM('DATA INPUT'!$Q$3:$Q$8999)="Place"))*('DATA INPUT'!$M$3:$M$8999&gt;=10)*('DATA INPUT'!$M$3:$M$8999&lt;20)*'DATA INPUT'!$L$3:$L$8999),0)</f>
        <v>0.28953020134228191</v>
      </c>
      <c r="AF30" s="74" cm="1">
        <f t="array" ref="AF30">IFERROR(SUMPRODUCT(((TRIM('DATA INPUT'!$Q$3:$Q$8999)="Win")+(TRIM('DATA INPUT'!$Q$3:$Q$8999)="Place"))*('DATA INPUT'!$M$3:$M$8999&gt;=20)*('DATA INPUT'!$M$3:$M$8999&lt;30)*'DATA INPUT'!$U$3:$U$8999)/SUMPRODUCT(((TRIM('DATA INPUT'!$Q$3:$Q$8999)="Win")+(TRIM('DATA INPUT'!$Q$3:$Q$8999)="Place"))*('DATA INPUT'!$M$3:$M$8999&gt;=20)*('DATA INPUT'!$M$3:$M$8999&lt;30)*'DATA INPUT'!$L$3:$L$8999),0)</f>
        <v>-5.3823376623376593E-2</v>
      </c>
      <c r="AG30" s="74" cm="1">
        <f t="array" ref="AG30">IFERROR(SUMPRODUCT(((TRIM('DATA INPUT'!$Q$3:$Q$8999)="Win")+(TRIM('DATA INPUT'!$Q$3:$Q$8999)="Place"))*('DATA INPUT'!$M$3:$M$8999&gt;=30)*('DATA INPUT'!$M$3:$M$8999&lt;40)*'DATA INPUT'!$U$3:$U$8999)/SUMPRODUCT(((TRIM('DATA INPUT'!$Q$3:$Q$8999)="Win")+(TRIM('DATA INPUT'!$Q$3:$Q$8999)="Place"))*('DATA INPUT'!$M$3:$M$8999&gt;=30)*('DATA INPUT'!$M$3:$M$8999&lt;40)*'DATA INPUT'!$L$3:$L$8999),0)</f>
        <v>-1</v>
      </c>
      <c r="AH30" s="74" cm="1">
        <f t="array" ref="AH30">IFERROR(SUMPRODUCT(((TRIM('DATA INPUT'!$Q$3:$Q$8999)="Win")+(TRIM('DATA INPUT'!$Q$3:$Q$8999)="Place"))*('DATA INPUT'!$M$3:$M$8999&gt;=40)*('DATA INPUT'!$M$3:$M$8999&lt;50)*'DATA INPUT'!$U$3:$U$8999)/SUMPRODUCT(((TRIM('DATA INPUT'!$Q$3:$Q$8999)="Win")+(TRIM('DATA INPUT'!$Q$3:$Q$8999)="Place"))*('DATA INPUT'!$M$3:$M$8999&gt;=40)*('DATA INPUT'!$M$3:$M$8999&lt;50)*'DATA INPUT'!$L$3:$L$8999),0)</f>
        <v>0</v>
      </c>
      <c r="AI30" s="74" cm="1">
        <f t="array" ref="AI30">IFERROR(SUMPRODUCT(((TRIM('DATA INPUT'!$Q$3:$Q$8999)="Win")+(TRIM('DATA INPUT'!$Q$3:$Q$8999)="Place"))*('DATA INPUT'!$M$3:$M$8999&gt;=50)*'DATA INPUT'!$U$3:$U$8999)/SUMPRODUCT(((TRIM('DATA INPUT'!$Q$3:$Q$8999)="Win")+(TRIM('DATA INPUT'!$Q$3:$Q$8999)="Place"))*('DATA INPUT'!$M$3:$M$8999&gt;=50)*'DATA INPUT'!$L$3:$L$8999),0)</f>
        <v>0</v>
      </c>
    </row>
    <row r="32" spans="1:35" x14ac:dyDescent="0.2">
      <c r="A32" s="44" t="s">
        <v>91</v>
      </c>
    </row>
    <row r="33" spans="1:1" x14ac:dyDescent="0.2">
      <c r="A33" s="44" t="s">
        <v>92</v>
      </c>
    </row>
    <row r="34" spans="1:1" x14ac:dyDescent="0.2">
      <c r="A34" s="44" t="s">
        <v>93</v>
      </c>
    </row>
    <row r="35" spans="1:1" x14ac:dyDescent="0.2">
      <c r="A35" s="44" t="s">
        <v>94</v>
      </c>
    </row>
    <row r="36" spans="1:1" x14ac:dyDescent="0.2">
      <c r="A36" s="44" t="s">
        <v>102</v>
      </c>
    </row>
    <row r="37" spans="1:1" x14ac:dyDescent="0.2">
      <c r="A37" s="44" t="s">
        <v>95</v>
      </c>
    </row>
    <row r="38" spans="1:1" x14ac:dyDescent="0.2">
      <c r="A38" s="44" t="s">
        <v>96</v>
      </c>
    </row>
    <row r="39" spans="1:1" x14ac:dyDescent="0.2">
      <c r="A39" s="44" t="s">
        <v>97</v>
      </c>
    </row>
    <row r="40" spans="1:1" x14ac:dyDescent="0.2">
      <c r="A40" s="44" t="s">
        <v>98</v>
      </c>
    </row>
    <row r="41" spans="1:1" x14ac:dyDescent="0.2">
      <c r="A41" s="44" t="s">
        <v>99</v>
      </c>
    </row>
    <row r="42" spans="1:1" x14ac:dyDescent="0.2">
      <c r="A42" s="44"/>
    </row>
  </sheetData>
  <conditionalFormatting sqref="B2:E10 B12:E17 B19:E24 B26:E1048576">
    <cfRule type="cellIs" dxfId="1" priority="1" operator="lessThan">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6166A-B23A-4E86-A88F-8028A024170E}">
  <dimension ref="A1:F46"/>
  <sheetViews>
    <sheetView workbookViewId="0">
      <selection activeCell="B9" sqref="B9"/>
    </sheetView>
  </sheetViews>
  <sheetFormatPr baseColWidth="10" defaultColWidth="8.83203125" defaultRowHeight="16" x14ac:dyDescent="0.2"/>
  <cols>
    <col min="1" max="1" width="11.6640625" bestFit="1" customWidth="1"/>
    <col min="2" max="2" width="38" bestFit="1" customWidth="1"/>
    <col min="3" max="3" width="12.5" bestFit="1" customWidth="1"/>
    <col min="4" max="4" width="18" bestFit="1" customWidth="1"/>
    <col min="5" max="5" width="9.83203125" bestFit="1" customWidth="1"/>
    <col min="6" max="6" width="7" bestFit="1" customWidth="1"/>
  </cols>
  <sheetData>
    <row r="1" spans="1:6" x14ac:dyDescent="0.2">
      <c r="A1" s="51" t="s">
        <v>88</v>
      </c>
      <c r="B1" s="51" t="s">
        <v>68</v>
      </c>
      <c r="C1" s="51" t="s">
        <v>69</v>
      </c>
      <c r="D1" s="51" t="s">
        <v>100</v>
      </c>
      <c r="E1" s="51" t="s">
        <v>101</v>
      </c>
      <c r="F1" s="51" t="s">
        <v>25</v>
      </c>
    </row>
    <row r="2" spans="1:6" x14ac:dyDescent="0.2">
      <c r="A2" s="82" cm="1">
        <f t="array" ref="A2">IFERROR(_xlfn.LET(_xlpm.d,_xlfn._xlws.FILTER('DATA INPUT'!$A$3:$A$8999,ISNUMBER('DATA INPUT'!$A$3:$A$8999)),_xlpm.mn,MIN(_xlpm.d),_xlpm.mx,MAX(_xlpm.d),_xlpm.firstSat,_xlpm.mn+MOD(6-WEEKDAY(_xlpm.mn,2),7),_xlpm.latestSat,_xlpm.mx+MOD(6-WEEKDAY(_xlpm.mx,2),7),MAX(_xlpm.firstSat,_xlpm.latestSat-41*7)),"")</f>
        <v>46270</v>
      </c>
      <c r="B2" s="13" t="str" cm="1">
        <f t="array" ref="B2">IF(COUNTIFS('DATA INPUT'!$A$3:$A$8999,"&gt;="&amp;$A2-6,'DATA INPUT'!$A$3:$A$8999,"&lt;="&amp;$A2)=0,"",IFERROR(_xlfn.TEXTJOIN(", ",TRUE,_xlfn.UNIQUE(_xlfn._xlws.FILTER(TRIM('DATA INPUT'!$H$3:$H$8999),('DATA INPUT'!$A$3:$A$8999&gt;=$A2-6)*('DATA INPUT'!$A$3:$A$8999&lt;=$A2)*(TRIM('DATA INPUT'!$H$3:$H$8999)&lt;&gt;""),""))),""))</f>
        <v>Warwick Farm, Eagle Farm, Randwick</v>
      </c>
      <c r="C2" s="75">
        <f>IF(COUNTIFS('DATA INPUT'!$A$3:$A$8999,"&gt;="&amp;$A2-6,'DATA INPUT'!$A$3:$A$8999,"&lt;="&amp;$A2)=0,"",SUMIFS('DATA INPUT'!$L$3:$L$8999,'DATA INPUT'!$A$3:$A$8999,"&gt;="&amp;$A2-6,'DATA INPUT'!$A$3:$A$8999,"&lt;="&amp;$A2))</f>
        <v>26.5</v>
      </c>
      <c r="D2" s="75">
        <f>IF(C2="","",C2+E2)</f>
        <v>3.8279999999999994</v>
      </c>
      <c r="E2" s="75">
        <f>IF(COUNTIFS('DATA INPUT'!$A$3:$A$8999,"&gt;="&amp;$A2-6,'DATA INPUT'!$A$3:$A$8999,"&lt;="&amp;$A2)=0,"",SUMIFS('DATA INPUT'!$U$3:$U$8999,'DATA INPUT'!$A$3:$A$8999,"&gt;="&amp;$A2-6,'DATA INPUT'!$A$3:$A$8999,"&lt;="&amp;$A2))</f>
        <v>-22.672000000000001</v>
      </c>
      <c r="F2" s="81">
        <f>IF(C2="","",IFERROR(E2/C2,0))</f>
        <v>-0.85554716981132073</v>
      </c>
    </row>
    <row r="3" spans="1:6" x14ac:dyDescent="0.2">
      <c r="A3" s="82">
        <f>IF(A2="","",A2+7)</f>
        <v>46277</v>
      </c>
      <c r="B3" s="13" t="str" cm="1">
        <f t="array" ref="B3">IF(COUNTIFS('DATA INPUT'!$A$3:$A$8999,"&gt;="&amp;$A3-6,'DATA INPUT'!$A$3:$A$8999,"&lt;="&amp;$A3)=0,"",IFERROR(_xlfn.TEXTJOIN(", ",TRUE,_xlfn.UNIQUE(_xlfn._xlws.FILTER(TRIM('DATA INPUT'!$H$3:$H$8999),('DATA INPUT'!$A$3:$A$8999&gt;=$A3-6)*('DATA INPUT'!$A$3:$A$8999&lt;=$A3)*(TRIM('DATA INPUT'!$H$3:$H$8999)&lt;&gt;""),""))),""))</f>
        <v>Doomben, Rosehill</v>
      </c>
      <c r="C3" s="75">
        <f>IF(COUNTIFS('DATA INPUT'!$A$3:$A$8999,"&gt;="&amp;$A3-6,'DATA INPUT'!$A$3:$A$8999,"&lt;="&amp;$A3)=0,"",SUMIFS('DATA INPUT'!$L$3:$L$8999,'DATA INPUT'!$A$3:$A$8999,"&gt;="&amp;$A3-6,'DATA INPUT'!$A$3:$A$8999,"&lt;="&amp;$A3))</f>
        <v>21</v>
      </c>
      <c r="D3" s="75">
        <f>IF(C3="","",C3+E3)</f>
        <v>40.272400000000005</v>
      </c>
      <c r="E3" s="75">
        <f>IF(COUNTIFS('DATA INPUT'!$A$3:$A$8999,"&gt;="&amp;$A3-6,'DATA INPUT'!$A$3:$A$8999,"&lt;="&amp;$A3)=0,"",SUMIFS('DATA INPUT'!$U$3:$U$8999,'DATA INPUT'!$A$3:$A$8999,"&gt;="&amp;$A3-6,'DATA INPUT'!$A$3:$A$8999,"&lt;="&amp;$A3))</f>
        <v>19.272400000000005</v>
      </c>
      <c r="F3" s="81">
        <f>IF(C3="","",IFERROR(E3/C3,0))</f>
        <v>0.91773333333333351</v>
      </c>
    </row>
    <row r="4" spans="1:6" x14ac:dyDescent="0.2">
      <c r="A4" s="82">
        <f t="shared" ref="A4:A43" si="0">IF(A3="","",A3+7)</f>
        <v>46284</v>
      </c>
      <c r="B4" s="13" t="str" cm="1">
        <f t="array" ref="B4">IF(COUNTIFS('DATA INPUT'!$A$3:$A$8999,"&gt;="&amp;$A4-6,'DATA INPUT'!$A$3:$A$8999,"&lt;="&amp;$A4)=0,"",IFERROR(_xlfn.TEXTJOIN(", ",TRUE,_xlfn.UNIQUE(_xlfn._xlws.FILTER(TRIM('DATA INPUT'!$H$3:$H$8999),('DATA INPUT'!$A$3:$A$8999&gt;=$A4-6)*('DATA INPUT'!$A$3:$A$8999&lt;=$A4)*(TRIM('DATA INPUT'!$H$3:$H$8999)&lt;&gt;""),""))),""))</f>
        <v>Doomben, Canterbury, Randwick, Eagle Farm</v>
      </c>
      <c r="C4" s="75">
        <f>IF(COUNTIFS('DATA INPUT'!$A$3:$A$8999,"&gt;="&amp;$A4-6,'DATA INPUT'!$A$3:$A$8999,"&lt;="&amp;$A4)=0,"",SUMIFS('DATA INPUT'!$L$3:$L$8999,'DATA INPUT'!$A$3:$A$8999,"&gt;="&amp;$A4-6,'DATA INPUT'!$A$3:$A$8999,"&lt;="&amp;$A4))</f>
        <v>19</v>
      </c>
      <c r="D4" s="75">
        <f t="shared" ref="D4:D43" si="1">IF(C4="","",C4+E4)</f>
        <v>16.460999999999999</v>
      </c>
      <c r="E4" s="75">
        <f>IF(COUNTIFS('DATA INPUT'!$A$3:$A$8999,"&gt;="&amp;$A4-6,'DATA INPUT'!$A$3:$A$8999,"&lt;="&amp;$A4)=0,"",SUMIFS('DATA INPUT'!$U$3:$U$8999,'DATA INPUT'!$A$3:$A$8999,"&gt;="&amp;$A4-6,'DATA INPUT'!$A$3:$A$8999,"&lt;="&amp;$A4))</f>
        <v>-2.5389999999999997</v>
      </c>
      <c r="F4" s="81">
        <f t="shared" ref="F4:F43" si="2">IF(C4="","",IFERROR(E4/C4,0))</f>
        <v>-0.13363157894736841</v>
      </c>
    </row>
    <row r="5" spans="1:6" x14ac:dyDescent="0.2">
      <c r="A5" s="82">
        <f t="shared" si="0"/>
        <v>46291</v>
      </c>
      <c r="B5" s="13" t="str" cm="1">
        <f t="array" ref="B5">IF(COUNTIFS('DATA INPUT'!$A$3:$A$8999,"&gt;="&amp;$A5-6,'DATA INPUT'!$A$3:$A$8999,"&lt;="&amp;$A5)=0,"",IFERROR(_xlfn.TEXTJOIN(", ",TRUE,_xlfn.UNIQUE(_xlfn._xlws.FILTER(TRIM('DATA INPUT'!$H$3:$H$8999),('DATA INPUT'!$A$3:$A$8999&gt;=$A5-6)*('DATA INPUT'!$A$3:$A$8999&lt;=$A5)*(TRIM('DATA INPUT'!$H$3:$H$8999)&lt;&gt;""),""))),""))</f>
        <v>Eagle Farm, Rosehill</v>
      </c>
      <c r="C5" s="75">
        <f>IF(COUNTIFS('DATA INPUT'!$A$3:$A$8999,"&gt;="&amp;$A5-6,'DATA INPUT'!$A$3:$A$8999,"&lt;="&amp;$A5)=0,"",SUMIFS('DATA INPUT'!$L$3:$L$8999,'DATA INPUT'!$A$3:$A$8999,"&gt;="&amp;$A5-6,'DATA INPUT'!$A$3:$A$8999,"&lt;="&amp;$A5))</f>
        <v>9.5</v>
      </c>
      <c r="D5" s="75">
        <f t="shared" si="1"/>
        <v>4.7200000000000006</v>
      </c>
      <c r="E5" s="75">
        <f>IF(COUNTIFS('DATA INPUT'!$A$3:$A$8999,"&gt;="&amp;$A5-6,'DATA INPUT'!$A$3:$A$8999,"&lt;="&amp;$A5)=0,"",SUMIFS('DATA INPUT'!$U$3:$U$8999,'DATA INPUT'!$A$3:$A$8999,"&gt;="&amp;$A5-6,'DATA INPUT'!$A$3:$A$8999,"&lt;="&amp;$A5))</f>
        <v>-4.7799999999999994</v>
      </c>
      <c r="F5" s="81">
        <f t="shared" si="2"/>
        <v>-0.50315789473684203</v>
      </c>
    </row>
    <row r="6" spans="1:6" x14ac:dyDescent="0.2">
      <c r="A6" s="82">
        <f t="shared" si="0"/>
        <v>46298</v>
      </c>
      <c r="B6" s="13" t="str" cm="1">
        <f t="array" ref="B6">IF(COUNTIFS('DATA INPUT'!$A$3:$A$8999,"&gt;="&amp;$A6-6,'DATA INPUT'!$A$3:$A$8999,"&lt;="&amp;$A6)=0,"",IFERROR(_xlfn.TEXTJOIN(", ",TRUE,_xlfn.UNIQUE(_xlfn._xlws.FILTER(TRIM('DATA INPUT'!$H$3:$H$8999),('DATA INPUT'!$A$3:$A$8999&gt;=$A6-6)*('DATA INPUT'!$A$3:$A$8999&lt;=$A6)*(TRIM('DATA INPUT'!$H$3:$H$8999)&lt;&gt;""),""))),""))</f>
        <v>Doomben, Rosehill, Randwick, Eagle Farm</v>
      </c>
      <c r="C6" s="75">
        <f>IF(COUNTIFS('DATA INPUT'!$A$3:$A$8999,"&gt;="&amp;$A6-6,'DATA INPUT'!$A$3:$A$8999,"&lt;="&amp;$A6)=0,"",SUMIFS('DATA INPUT'!$L$3:$L$8999,'DATA INPUT'!$A$3:$A$8999,"&gt;="&amp;$A6-6,'DATA INPUT'!$A$3:$A$8999,"&lt;="&amp;$A6))</f>
        <v>21.699999999999996</v>
      </c>
      <c r="D6" s="75">
        <f t="shared" si="1"/>
        <v>16.377279999999995</v>
      </c>
      <c r="E6" s="75">
        <f>IF(COUNTIFS('DATA INPUT'!$A$3:$A$8999,"&gt;="&amp;$A6-6,'DATA INPUT'!$A$3:$A$8999,"&lt;="&amp;$A6)=0,"",SUMIFS('DATA INPUT'!$U$3:$U$8999,'DATA INPUT'!$A$3:$A$8999,"&gt;="&amp;$A6-6,'DATA INPUT'!$A$3:$A$8999,"&lt;="&amp;$A6))</f>
        <v>-5.3227200000000003</v>
      </c>
      <c r="F6" s="81">
        <f t="shared" si="2"/>
        <v>-0.24528663594470052</v>
      </c>
    </row>
    <row r="7" spans="1:6" x14ac:dyDescent="0.2">
      <c r="A7" s="82">
        <f t="shared" si="0"/>
        <v>46305</v>
      </c>
      <c r="B7" s="13" t="str" cm="1">
        <f t="array" ref="B7">IF(COUNTIFS('DATA INPUT'!$A$3:$A$8999,"&gt;="&amp;$A7-6,'DATA INPUT'!$A$3:$A$8999,"&lt;="&amp;$A7)=0,"",IFERROR(_xlfn.TEXTJOIN(", ",TRUE,_xlfn.UNIQUE(_xlfn._xlws.FILTER(TRIM('DATA INPUT'!$H$3:$H$8999),('DATA INPUT'!$A$3:$A$8999&gt;=$A7-6)*('DATA INPUT'!$A$3:$A$8999&lt;=$A7)*(TRIM('DATA INPUT'!$H$3:$H$8999)&lt;&gt;""),""))),""))</f>
        <v>Doomben, Warwick Farm, Randwick, Rosehill, Eagle Farm</v>
      </c>
      <c r="C7" s="75">
        <f>IF(COUNTIFS('DATA INPUT'!$A$3:$A$8999,"&gt;="&amp;$A7-6,'DATA INPUT'!$A$3:$A$8999,"&lt;="&amp;$A7)=0,"",SUMIFS('DATA INPUT'!$L$3:$L$8999,'DATA INPUT'!$A$3:$A$8999,"&gt;="&amp;$A7-6,'DATA INPUT'!$A$3:$A$8999,"&lt;="&amp;$A7))</f>
        <v>21.299999999999997</v>
      </c>
      <c r="D7" s="75">
        <f t="shared" si="1"/>
        <v>33.285799999999995</v>
      </c>
      <c r="E7" s="75">
        <f>IF(COUNTIFS('DATA INPUT'!$A$3:$A$8999,"&gt;="&amp;$A7-6,'DATA INPUT'!$A$3:$A$8999,"&lt;="&amp;$A7)=0,"",SUMIFS('DATA INPUT'!$U$3:$U$8999,'DATA INPUT'!$A$3:$A$8999,"&gt;="&amp;$A7-6,'DATA INPUT'!$A$3:$A$8999,"&lt;="&amp;$A7))</f>
        <v>11.985800000000001</v>
      </c>
      <c r="F7" s="81">
        <f t="shared" si="2"/>
        <v>0.56271361502347428</v>
      </c>
    </row>
    <row r="8" spans="1:6" x14ac:dyDescent="0.2">
      <c r="A8" s="82">
        <f t="shared" si="0"/>
        <v>46312</v>
      </c>
      <c r="B8" s="13" t="str" cm="1">
        <f t="array" ref="B8">IF(COUNTIFS('DATA INPUT'!$A$3:$A$8999,"&gt;="&amp;$A8-6,'DATA INPUT'!$A$3:$A$8999,"&lt;="&amp;$A8)=0,"",IFERROR(_xlfn.TEXTJOIN(", ",TRUE,_xlfn.UNIQUE(_xlfn._xlws.FILTER(TRIM('DATA INPUT'!$H$3:$H$8999),('DATA INPUT'!$A$3:$A$8999&gt;=$A8-6)*('DATA INPUT'!$A$3:$A$8999&lt;=$A8)*(TRIM('DATA INPUT'!$H$3:$H$8999)&lt;&gt;""),""))),""))</f>
        <v>Eagle Farm, Rosehill, Randwick, Doomben</v>
      </c>
      <c r="C8" s="75">
        <f>IF(COUNTIFS('DATA INPUT'!$A$3:$A$8999,"&gt;="&amp;$A8-6,'DATA INPUT'!$A$3:$A$8999,"&lt;="&amp;$A8)=0,"",SUMIFS('DATA INPUT'!$L$3:$L$8999,'DATA INPUT'!$A$3:$A$8999,"&gt;="&amp;$A8-6,'DATA INPUT'!$A$3:$A$8999,"&lt;="&amp;$A8))</f>
        <v>15</v>
      </c>
      <c r="D8" s="75">
        <f t="shared" si="1"/>
        <v>28.686</v>
      </c>
      <c r="E8" s="75">
        <f>IF(COUNTIFS('DATA INPUT'!$A$3:$A$8999,"&gt;="&amp;$A8-6,'DATA INPUT'!$A$3:$A$8999,"&lt;="&amp;$A8)=0,"",SUMIFS('DATA INPUT'!$U$3:$U$8999,'DATA INPUT'!$A$3:$A$8999,"&gt;="&amp;$A8-6,'DATA INPUT'!$A$3:$A$8999,"&lt;="&amp;$A8))</f>
        <v>13.686</v>
      </c>
      <c r="F8" s="81">
        <f t="shared" si="2"/>
        <v>0.91239999999999999</v>
      </c>
    </row>
    <row r="9" spans="1:6" x14ac:dyDescent="0.2">
      <c r="A9" s="82">
        <f t="shared" si="0"/>
        <v>46319</v>
      </c>
      <c r="B9" s="13" t="str" cm="1">
        <f t="array" ref="B9">IF(COUNTIFS('DATA INPUT'!$A$3:$A$8999,"&gt;="&amp;$A9-6,'DATA INPUT'!$A$3:$A$8999,"&lt;="&amp;$A9)=0,"",IFERROR(_xlfn.TEXTJOIN(", ",TRUE,_xlfn.UNIQUE(_xlfn._xlws.FILTER(TRIM('DATA INPUT'!$H$3:$H$8999),('DATA INPUT'!$A$3:$A$8999&gt;=$A9-6)*('DATA INPUT'!$A$3:$A$8999&lt;=$A9)*(TRIM('DATA INPUT'!$H$3:$H$8999)&lt;&gt;""),""))),""))</f>
        <v>Warwick Farm, Randwick</v>
      </c>
      <c r="C9" s="75">
        <f>IF(COUNTIFS('DATA INPUT'!$A$3:$A$8999,"&gt;="&amp;$A9-6,'DATA INPUT'!$A$3:$A$8999,"&lt;="&amp;$A9)=0,"",SUMIFS('DATA INPUT'!$L$3:$L$8999,'DATA INPUT'!$A$3:$A$8999,"&gt;="&amp;$A9-6,'DATA INPUT'!$A$3:$A$8999,"&lt;="&amp;$A9))</f>
        <v>3.5</v>
      </c>
      <c r="D9" s="75">
        <f t="shared" si="1"/>
        <v>0</v>
      </c>
      <c r="E9" s="75">
        <f>IF(COUNTIFS('DATA INPUT'!$A$3:$A$8999,"&gt;="&amp;$A9-6,'DATA INPUT'!$A$3:$A$8999,"&lt;="&amp;$A9)=0,"",SUMIFS('DATA INPUT'!$U$3:$U$8999,'DATA INPUT'!$A$3:$A$8999,"&gt;="&amp;$A9-6,'DATA INPUT'!$A$3:$A$8999,"&lt;="&amp;$A9))</f>
        <v>-3.5</v>
      </c>
      <c r="F9" s="81">
        <f t="shared" si="2"/>
        <v>-1</v>
      </c>
    </row>
    <row r="10" spans="1:6" x14ac:dyDescent="0.2">
      <c r="A10" s="82">
        <f t="shared" si="0"/>
        <v>46326</v>
      </c>
      <c r="B10" s="13" t="str" cm="1">
        <f t="array" ref="B10">IF(COUNTIFS('DATA INPUT'!$A$3:$A$8999,"&gt;="&amp;$A10-6,'DATA INPUT'!$A$3:$A$8999,"&lt;="&amp;$A10)=0,"",IFERROR(_xlfn.TEXTJOIN(", ",TRUE,_xlfn.UNIQUE(_xlfn._xlws.FILTER(TRIM('DATA INPUT'!$H$3:$H$8999),('DATA INPUT'!$A$3:$A$8999&gt;=$A10-6)*('DATA INPUT'!$A$3:$A$8999&lt;=$A10)*(TRIM('DATA INPUT'!$H$3:$H$8999)&lt;&gt;""),""))),""))</f>
        <v>Warwick Farm, Randwick, Doomben</v>
      </c>
      <c r="C10" s="75">
        <f>IF(COUNTIFS('DATA INPUT'!$A$3:$A$8999,"&gt;="&amp;$A10-6,'DATA INPUT'!$A$3:$A$8999,"&lt;="&amp;$A10)=0,"",SUMIFS('DATA INPUT'!$L$3:$L$8999,'DATA INPUT'!$A$3:$A$8999,"&gt;="&amp;$A10-6,'DATA INPUT'!$A$3:$A$8999,"&lt;="&amp;$A10))</f>
        <v>13.5</v>
      </c>
      <c r="D10" s="75">
        <f t="shared" si="1"/>
        <v>10.3062</v>
      </c>
      <c r="E10" s="75">
        <f>IF(COUNTIFS('DATA INPUT'!$A$3:$A$8999,"&gt;="&amp;$A10-6,'DATA INPUT'!$A$3:$A$8999,"&lt;="&amp;$A10)=0,"",SUMIFS('DATA INPUT'!$U$3:$U$8999,'DATA INPUT'!$A$3:$A$8999,"&gt;="&amp;$A10-6,'DATA INPUT'!$A$3:$A$8999,"&lt;="&amp;$A10))</f>
        <v>-3.1937999999999995</v>
      </c>
      <c r="F10" s="81">
        <f t="shared" si="2"/>
        <v>-0.23657777777777775</v>
      </c>
    </row>
    <row r="11" spans="1:6" x14ac:dyDescent="0.2">
      <c r="A11" s="82">
        <f t="shared" si="0"/>
        <v>46333</v>
      </c>
      <c r="B11" s="13" t="str" cm="1">
        <f t="array" ref="B11">IF(COUNTIFS('DATA INPUT'!$A$3:$A$8999,"&gt;="&amp;$A11-6,'DATA INPUT'!$A$3:$A$8999,"&lt;="&amp;$A11)=0,"",IFERROR(_xlfn.TEXTJOIN(", ",TRUE,_xlfn.UNIQUE(_xlfn._xlws.FILTER(TRIM('DATA INPUT'!$H$3:$H$8999),('DATA INPUT'!$A$3:$A$8999&gt;=$A11-6)*('DATA INPUT'!$A$3:$A$8999&lt;=$A11)*(TRIM('DATA INPUT'!$H$3:$H$8999)&lt;&gt;""),""))),""))</f>
        <v/>
      </c>
      <c r="C11" s="75" t="str">
        <f>IF(COUNTIFS('DATA INPUT'!$A$3:$A$8999,"&gt;="&amp;$A11-6,'DATA INPUT'!$A$3:$A$8999,"&lt;="&amp;$A11)=0,"",SUMIFS('DATA INPUT'!$L$3:$L$8999,'DATA INPUT'!$A$3:$A$8999,"&gt;="&amp;$A11-6,'DATA INPUT'!$A$3:$A$8999,"&lt;="&amp;$A11))</f>
        <v/>
      </c>
      <c r="D11" s="75" t="str">
        <f t="shared" si="1"/>
        <v/>
      </c>
      <c r="E11" s="75" t="str">
        <f>IF(COUNTIFS('DATA INPUT'!$A$3:$A$8999,"&gt;="&amp;$A11-6,'DATA INPUT'!$A$3:$A$8999,"&lt;="&amp;$A11)=0,"",SUMIFS('DATA INPUT'!$U$3:$U$8999,'DATA INPUT'!$A$3:$A$8999,"&gt;="&amp;$A11-6,'DATA INPUT'!$A$3:$A$8999,"&lt;="&amp;$A11))</f>
        <v/>
      </c>
      <c r="F11" s="81" t="str">
        <f t="shared" si="2"/>
        <v/>
      </c>
    </row>
    <row r="12" spans="1:6" x14ac:dyDescent="0.2">
      <c r="A12" s="82">
        <f t="shared" si="0"/>
        <v>46340</v>
      </c>
      <c r="B12" s="13" t="str" cm="1">
        <f t="array" ref="B12">IF(COUNTIFS('DATA INPUT'!$A$3:$A$8999,"&gt;="&amp;$A12-6,'DATA INPUT'!$A$3:$A$8999,"&lt;="&amp;$A12)=0,"",IFERROR(_xlfn.TEXTJOIN(", ",TRUE,_xlfn.UNIQUE(_xlfn._xlws.FILTER(TRIM('DATA INPUT'!$H$3:$H$8999),('DATA INPUT'!$A$3:$A$8999&gt;=$A12-6)*('DATA INPUT'!$A$3:$A$8999&lt;=$A12)*(TRIM('DATA INPUT'!$H$3:$H$8999)&lt;&gt;""),""))),""))</f>
        <v/>
      </c>
      <c r="C12" s="75" t="str">
        <f>IF(COUNTIFS('DATA INPUT'!$A$3:$A$8999,"&gt;="&amp;$A12-6,'DATA INPUT'!$A$3:$A$8999,"&lt;="&amp;$A12)=0,"",SUMIFS('DATA INPUT'!$L$3:$L$8999,'DATA INPUT'!$A$3:$A$8999,"&gt;="&amp;$A12-6,'DATA INPUT'!$A$3:$A$8999,"&lt;="&amp;$A12))</f>
        <v/>
      </c>
      <c r="D12" s="75" t="str">
        <f t="shared" si="1"/>
        <v/>
      </c>
      <c r="E12" s="75" t="str">
        <f>IF(COUNTIFS('DATA INPUT'!$A$3:$A$8999,"&gt;="&amp;$A12-6,'DATA INPUT'!$A$3:$A$8999,"&lt;="&amp;$A12)=0,"",SUMIFS('DATA INPUT'!$U$3:$U$8999,'DATA INPUT'!$A$3:$A$8999,"&gt;="&amp;$A12-6,'DATA INPUT'!$A$3:$A$8999,"&lt;="&amp;$A12))</f>
        <v/>
      </c>
      <c r="F12" s="81" t="str">
        <f t="shared" si="2"/>
        <v/>
      </c>
    </row>
    <row r="13" spans="1:6" x14ac:dyDescent="0.2">
      <c r="A13" s="82">
        <f t="shared" si="0"/>
        <v>46347</v>
      </c>
      <c r="B13" s="13" t="str" cm="1">
        <f t="array" ref="B13">IF(COUNTIFS('DATA INPUT'!$A$3:$A$8999,"&gt;="&amp;$A13-6,'DATA INPUT'!$A$3:$A$8999,"&lt;="&amp;$A13)=0,"",IFERROR(_xlfn.TEXTJOIN(", ",TRUE,_xlfn.UNIQUE(_xlfn._xlws.FILTER(TRIM('DATA INPUT'!$H$3:$H$8999),('DATA INPUT'!$A$3:$A$8999&gt;=$A13-6)*('DATA INPUT'!$A$3:$A$8999&lt;=$A13)*(TRIM('DATA INPUT'!$H$3:$H$8999)&lt;&gt;""),""))),""))</f>
        <v/>
      </c>
      <c r="C13" s="75" t="str">
        <f>IF(COUNTIFS('DATA INPUT'!$A$3:$A$8999,"&gt;="&amp;$A13-6,'DATA INPUT'!$A$3:$A$8999,"&lt;="&amp;$A13)=0,"",SUMIFS('DATA INPUT'!$L$3:$L$8999,'DATA INPUT'!$A$3:$A$8999,"&gt;="&amp;$A13-6,'DATA INPUT'!$A$3:$A$8999,"&lt;="&amp;$A13))</f>
        <v/>
      </c>
      <c r="D13" s="75" t="str">
        <f t="shared" si="1"/>
        <v/>
      </c>
      <c r="E13" s="75" t="str">
        <f>IF(COUNTIFS('DATA INPUT'!$A$3:$A$8999,"&gt;="&amp;$A13-6,'DATA INPUT'!$A$3:$A$8999,"&lt;="&amp;$A13)=0,"",SUMIFS('DATA INPUT'!$U$3:$U$8999,'DATA INPUT'!$A$3:$A$8999,"&gt;="&amp;$A13-6,'DATA INPUT'!$A$3:$A$8999,"&lt;="&amp;$A13))</f>
        <v/>
      </c>
      <c r="F13" s="81" t="str">
        <f t="shared" si="2"/>
        <v/>
      </c>
    </row>
    <row r="14" spans="1:6" x14ac:dyDescent="0.2">
      <c r="A14" s="82">
        <f t="shared" si="0"/>
        <v>46354</v>
      </c>
      <c r="B14" s="13" t="str" cm="1">
        <f t="array" ref="B14">IF(COUNTIFS('DATA INPUT'!$A$3:$A$8999,"&gt;="&amp;$A14-6,'DATA INPUT'!$A$3:$A$8999,"&lt;="&amp;$A14)=0,"",IFERROR(_xlfn.TEXTJOIN(", ",TRUE,_xlfn.UNIQUE(_xlfn._xlws.FILTER(TRIM('DATA INPUT'!$H$3:$H$8999),('DATA INPUT'!$A$3:$A$8999&gt;=$A14-6)*('DATA INPUT'!$A$3:$A$8999&lt;=$A14)*(TRIM('DATA INPUT'!$H$3:$H$8999)&lt;&gt;""),""))),""))</f>
        <v/>
      </c>
      <c r="C14" s="75" t="str">
        <f>IF(COUNTIFS('DATA INPUT'!$A$3:$A$8999,"&gt;="&amp;$A14-6,'DATA INPUT'!$A$3:$A$8999,"&lt;="&amp;$A14)=0,"",SUMIFS('DATA INPUT'!$L$3:$L$8999,'DATA INPUT'!$A$3:$A$8999,"&gt;="&amp;$A14-6,'DATA INPUT'!$A$3:$A$8999,"&lt;="&amp;$A14))</f>
        <v/>
      </c>
      <c r="D14" s="75" t="str">
        <f t="shared" si="1"/>
        <v/>
      </c>
      <c r="E14" s="75" t="str">
        <f>IF(COUNTIFS('DATA INPUT'!$A$3:$A$8999,"&gt;="&amp;$A14-6,'DATA INPUT'!$A$3:$A$8999,"&lt;="&amp;$A14)=0,"",SUMIFS('DATA INPUT'!$U$3:$U$8999,'DATA INPUT'!$A$3:$A$8999,"&gt;="&amp;$A14-6,'DATA INPUT'!$A$3:$A$8999,"&lt;="&amp;$A14))</f>
        <v/>
      </c>
      <c r="F14" s="81" t="str">
        <f t="shared" si="2"/>
        <v/>
      </c>
    </row>
    <row r="15" spans="1:6" x14ac:dyDescent="0.2">
      <c r="A15" s="82">
        <f t="shared" si="0"/>
        <v>46361</v>
      </c>
      <c r="B15" s="13" t="str" cm="1">
        <f t="array" ref="B15">IF(COUNTIFS('DATA INPUT'!$A$3:$A$8999,"&gt;="&amp;$A15-6,'DATA INPUT'!$A$3:$A$8999,"&lt;="&amp;$A15)=0,"",IFERROR(_xlfn.TEXTJOIN(", ",TRUE,_xlfn.UNIQUE(_xlfn._xlws.FILTER(TRIM('DATA INPUT'!$H$3:$H$8999),('DATA INPUT'!$A$3:$A$8999&gt;=$A15-6)*('DATA INPUT'!$A$3:$A$8999&lt;=$A15)*(TRIM('DATA INPUT'!$H$3:$H$8999)&lt;&gt;""),""))),""))</f>
        <v/>
      </c>
      <c r="C15" s="75" t="str">
        <f>IF(COUNTIFS('DATA INPUT'!$A$3:$A$8999,"&gt;="&amp;$A15-6,'DATA INPUT'!$A$3:$A$8999,"&lt;="&amp;$A15)=0,"",SUMIFS('DATA INPUT'!$L$3:$L$8999,'DATA INPUT'!$A$3:$A$8999,"&gt;="&amp;$A15-6,'DATA INPUT'!$A$3:$A$8999,"&lt;="&amp;$A15))</f>
        <v/>
      </c>
      <c r="D15" s="75" t="str">
        <f t="shared" si="1"/>
        <v/>
      </c>
      <c r="E15" s="75" t="str">
        <f>IF(COUNTIFS('DATA INPUT'!$A$3:$A$8999,"&gt;="&amp;$A15-6,'DATA INPUT'!$A$3:$A$8999,"&lt;="&amp;$A15)=0,"",SUMIFS('DATA INPUT'!$U$3:$U$8999,'DATA INPUT'!$A$3:$A$8999,"&gt;="&amp;$A15-6,'DATA INPUT'!$A$3:$A$8999,"&lt;="&amp;$A15))</f>
        <v/>
      </c>
      <c r="F15" s="81" t="str">
        <f t="shared" si="2"/>
        <v/>
      </c>
    </row>
    <row r="16" spans="1:6" x14ac:dyDescent="0.2">
      <c r="A16" s="82">
        <f t="shared" si="0"/>
        <v>46368</v>
      </c>
      <c r="B16" s="13" t="str" cm="1">
        <f t="array" ref="B16">IF(COUNTIFS('DATA INPUT'!$A$3:$A$8999,"&gt;="&amp;$A16-6,'DATA INPUT'!$A$3:$A$8999,"&lt;="&amp;$A16)=0,"",IFERROR(_xlfn.TEXTJOIN(", ",TRUE,_xlfn.UNIQUE(_xlfn._xlws.FILTER(TRIM('DATA INPUT'!$H$3:$H$8999),('DATA INPUT'!$A$3:$A$8999&gt;=$A16-6)*('DATA INPUT'!$A$3:$A$8999&lt;=$A16)*(TRIM('DATA INPUT'!$H$3:$H$8999)&lt;&gt;""),""))),""))</f>
        <v/>
      </c>
      <c r="C16" s="75" t="str">
        <f>IF(COUNTIFS('DATA INPUT'!$A$3:$A$8999,"&gt;="&amp;$A16-6,'DATA INPUT'!$A$3:$A$8999,"&lt;="&amp;$A16)=0,"",SUMIFS('DATA INPUT'!$L$3:$L$8999,'DATA INPUT'!$A$3:$A$8999,"&gt;="&amp;$A16-6,'DATA INPUT'!$A$3:$A$8999,"&lt;="&amp;$A16))</f>
        <v/>
      </c>
      <c r="D16" s="75" t="str">
        <f t="shared" si="1"/>
        <v/>
      </c>
      <c r="E16" s="75" t="str">
        <f>IF(COUNTIFS('DATA INPUT'!$A$3:$A$8999,"&gt;="&amp;$A16-6,'DATA INPUT'!$A$3:$A$8999,"&lt;="&amp;$A16)=0,"",SUMIFS('DATA INPUT'!$U$3:$U$8999,'DATA INPUT'!$A$3:$A$8999,"&gt;="&amp;$A16-6,'DATA INPUT'!$A$3:$A$8999,"&lt;="&amp;$A16))</f>
        <v/>
      </c>
      <c r="F16" s="81" t="str">
        <f t="shared" si="2"/>
        <v/>
      </c>
    </row>
    <row r="17" spans="1:6" x14ac:dyDescent="0.2">
      <c r="A17" s="82">
        <f t="shared" si="0"/>
        <v>46375</v>
      </c>
      <c r="B17" s="13" t="str" cm="1">
        <f t="array" ref="B17">IF(COUNTIFS('DATA INPUT'!$A$3:$A$8999,"&gt;="&amp;$A17-6,'DATA INPUT'!$A$3:$A$8999,"&lt;="&amp;$A17)=0,"",IFERROR(_xlfn.TEXTJOIN(", ",TRUE,_xlfn.UNIQUE(_xlfn._xlws.FILTER(TRIM('DATA INPUT'!$H$3:$H$8999),('DATA INPUT'!$A$3:$A$8999&gt;=$A17-6)*('DATA INPUT'!$A$3:$A$8999&lt;=$A17)*(TRIM('DATA INPUT'!$H$3:$H$8999)&lt;&gt;""),""))),""))</f>
        <v/>
      </c>
      <c r="C17" s="75" t="str">
        <f>IF(COUNTIFS('DATA INPUT'!$A$3:$A$8999,"&gt;="&amp;$A17-6,'DATA INPUT'!$A$3:$A$8999,"&lt;="&amp;$A17)=0,"",SUMIFS('DATA INPUT'!$L$3:$L$8999,'DATA INPUT'!$A$3:$A$8999,"&gt;="&amp;$A17-6,'DATA INPUT'!$A$3:$A$8999,"&lt;="&amp;$A17))</f>
        <v/>
      </c>
      <c r="D17" s="75" t="str">
        <f t="shared" si="1"/>
        <v/>
      </c>
      <c r="E17" s="75" t="str">
        <f>IF(COUNTIFS('DATA INPUT'!$A$3:$A$8999,"&gt;="&amp;$A17-6,'DATA INPUT'!$A$3:$A$8999,"&lt;="&amp;$A17)=0,"",SUMIFS('DATA INPUT'!$U$3:$U$8999,'DATA INPUT'!$A$3:$A$8999,"&gt;="&amp;$A17-6,'DATA INPUT'!$A$3:$A$8999,"&lt;="&amp;$A17))</f>
        <v/>
      </c>
      <c r="F17" s="81" t="str">
        <f t="shared" si="2"/>
        <v/>
      </c>
    </row>
    <row r="18" spans="1:6" x14ac:dyDescent="0.2">
      <c r="A18" s="82">
        <f t="shared" si="0"/>
        <v>46382</v>
      </c>
      <c r="B18" s="13" t="str" cm="1">
        <f t="array" ref="B18">IF(COUNTIFS('DATA INPUT'!$A$3:$A$8999,"&gt;="&amp;$A18-6,'DATA INPUT'!$A$3:$A$8999,"&lt;="&amp;$A18)=0,"",IFERROR(_xlfn.TEXTJOIN(", ",TRUE,_xlfn.UNIQUE(_xlfn._xlws.FILTER(TRIM('DATA INPUT'!$H$3:$H$8999),('DATA INPUT'!$A$3:$A$8999&gt;=$A18-6)*('DATA INPUT'!$A$3:$A$8999&lt;=$A18)*(TRIM('DATA INPUT'!$H$3:$H$8999)&lt;&gt;""),""))),""))</f>
        <v/>
      </c>
      <c r="C18" s="75" t="str">
        <f>IF(COUNTIFS('DATA INPUT'!$A$3:$A$8999,"&gt;="&amp;$A18-6,'DATA INPUT'!$A$3:$A$8999,"&lt;="&amp;$A18)=0,"",SUMIFS('DATA INPUT'!$L$3:$L$8999,'DATA INPUT'!$A$3:$A$8999,"&gt;="&amp;$A18-6,'DATA INPUT'!$A$3:$A$8999,"&lt;="&amp;$A18))</f>
        <v/>
      </c>
      <c r="D18" s="75" t="str">
        <f t="shared" si="1"/>
        <v/>
      </c>
      <c r="E18" s="75" t="str">
        <f>IF(COUNTIFS('DATA INPUT'!$A$3:$A$8999,"&gt;="&amp;$A18-6,'DATA INPUT'!$A$3:$A$8999,"&lt;="&amp;$A18)=0,"",SUMIFS('DATA INPUT'!$U$3:$U$8999,'DATA INPUT'!$A$3:$A$8999,"&gt;="&amp;$A18-6,'DATA INPUT'!$A$3:$A$8999,"&lt;="&amp;$A18))</f>
        <v/>
      </c>
      <c r="F18" s="81" t="str">
        <f t="shared" si="2"/>
        <v/>
      </c>
    </row>
    <row r="19" spans="1:6" x14ac:dyDescent="0.2">
      <c r="A19" s="82">
        <f t="shared" si="0"/>
        <v>46389</v>
      </c>
      <c r="B19" s="13" t="str" cm="1">
        <f t="array" ref="B19">IF(COUNTIFS('DATA INPUT'!$A$3:$A$8999,"&gt;="&amp;$A19-6,'DATA INPUT'!$A$3:$A$8999,"&lt;="&amp;$A19)=0,"",IFERROR(_xlfn.TEXTJOIN(", ",TRUE,_xlfn.UNIQUE(_xlfn._xlws.FILTER(TRIM('DATA INPUT'!$H$3:$H$8999),('DATA INPUT'!$A$3:$A$8999&gt;=$A19-6)*('DATA INPUT'!$A$3:$A$8999&lt;=$A19)*(TRIM('DATA INPUT'!$H$3:$H$8999)&lt;&gt;""),""))),""))</f>
        <v/>
      </c>
      <c r="C19" s="75" t="str">
        <f>IF(COUNTIFS('DATA INPUT'!$A$3:$A$8999,"&gt;="&amp;$A19-6,'DATA INPUT'!$A$3:$A$8999,"&lt;="&amp;$A19)=0,"",SUMIFS('DATA INPUT'!$L$3:$L$8999,'DATA INPUT'!$A$3:$A$8999,"&gt;="&amp;$A19-6,'DATA INPUT'!$A$3:$A$8999,"&lt;="&amp;$A19))</f>
        <v/>
      </c>
      <c r="D19" s="75" t="str">
        <f t="shared" si="1"/>
        <v/>
      </c>
      <c r="E19" s="75" t="str">
        <f>IF(COUNTIFS('DATA INPUT'!$A$3:$A$8999,"&gt;="&amp;$A19-6,'DATA INPUT'!$A$3:$A$8999,"&lt;="&amp;$A19)=0,"",SUMIFS('DATA INPUT'!$U$3:$U$8999,'DATA INPUT'!$A$3:$A$8999,"&gt;="&amp;$A19-6,'DATA INPUT'!$A$3:$A$8999,"&lt;="&amp;$A19))</f>
        <v/>
      </c>
      <c r="F19" s="81" t="str">
        <f t="shared" si="2"/>
        <v/>
      </c>
    </row>
    <row r="20" spans="1:6" x14ac:dyDescent="0.2">
      <c r="A20" s="82">
        <f t="shared" si="0"/>
        <v>46396</v>
      </c>
      <c r="B20" s="13" t="str" cm="1">
        <f t="array" ref="B20">IF(COUNTIFS('DATA INPUT'!$A$3:$A$8999,"&gt;="&amp;$A20-6,'DATA INPUT'!$A$3:$A$8999,"&lt;="&amp;$A20)=0,"",IFERROR(_xlfn.TEXTJOIN(", ",TRUE,_xlfn.UNIQUE(_xlfn._xlws.FILTER(TRIM('DATA INPUT'!$H$3:$H$8999),('DATA INPUT'!$A$3:$A$8999&gt;=$A20-6)*('DATA INPUT'!$A$3:$A$8999&lt;=$A20)*(TRIM('DATA INPUT'!$H$3:$H$8999)&lt;&gt;""),""))),""))</f>
        <v/>
      </c>
      <c r="C20" s="75" t="str">
        <f>IF(COUNTIFS('DATA INPUT'!$A$3:$A$8999,"&gt;="&amp;$A20-6,'DATA INPUT'!$A$3:$A$8999,"&lt;="&amp;$A20)=0,"",SUMIFS('DATA INPUT'!$L$3:$L$8999,'DATA INPUT'!$A$3:$A$8999,"&gt;="&amp;$A20-6,'DATA INPUT'!$A$3:$A$8999,"&lt;="&amp;$A20))</f>
        <v/>
      </c>
      <c r="D20" s="75" t="str">
        <f t="shared" si="1"/>
        <v/>
      </c>
      <c r="E20" s="75" t="str">
        <f>IF(COUNTIFS('DATA INPUT'!$A$3:$A$8999,"&gt;="&amp;$A20-6,'DATA INPUT'!$A$3:$A$8999,"&lt;="&amp;$A20)=0,"",SUMIFS('DATA INPUT'!$U$3:$U$8999,'DATA INPUT'!$A$3:$A$8999,"&gt;="&amp;$A20-6,'DATA INPUT'!$A$3:$A$8999,"&lt;="&amp;$A20))</f>
        <v/>
      </c>
      <c r="F20" s="81" t="str">
        <f t="shared" si="2"/>
        <v/>
      </c>
    </row>
    <row r="21" spans="1:6" x14ac:dyDescent="0.2">
      <c r="A21" s="82">
        <f t="shared" si="0"/>
        <v>46403</v>
      </c>
      <c r="B21" s="13" t="str" cm="1">
        <f t="array" ref="B21">IF(COUNTIFS('DATA INPUT'!$A$3:$A$8999,"&gt;="&amp;$A21-6,'DATA INPUT'!$A$3:$A$8999,"&lt;="&amp;$A21)=0,"",IFERROR(_xlfn.TEXTJOIN(", ",TRUE,_xlfn.UNIQUE(_xlfn._xlws.FILTER(TRIM('DATA INPUT'!$H$3:$H$8999),('DATA INPUT'!$A$3:$A$8999&gt;=$A21-6)*('DATA INPUT'!$A$3:$A$8999&lt;=$A21)*(TRIM('DATA INPUT'!$H$3:$H$8999)&lt;&gt;""),""))),""))</f>
        <v/>
      </c>
      <c r="C21" s="75" t="str">
        <f>IF(COUNTIFS('DATA INPUT'!$A$3:$A$8999,"&gt;="&amp;$A21-6,'DATA INPUT'!$A$3:$A$8999,"&lt;="&amp;$A21)=0,"",SUMIFS('DATA INPUT'!$L$3:$L$8999,'DATA INPUT'!$A$3:$A$8999,"&gt;="&amp;$A21-6,'DATA INPUT'!$A$3:$A$8999,"&lt;="&amp;$A21))</f>
        <v/>
      </c>
      <c r="D21" s="75" t="str">
        <f t="shared" si="1"/>
        <v/>
      </c>
      <c r="E21" s="75" t="str">
        <f>IF(COUNTIFS('DATA INPUT'!$A$3:$A$8999,"&gt;="&amp;$A21-6,'DATA INPUT'!$A$3:$A$8999,"&lt;="&amp;$A21)=0,"",SUMIFS('DATA INPUT'!$U$3:$U$8999,'DATA INPUT'!$A$3:$A$8999,"&gt;="&amp;$A21-6,'DATA INPUT'!$A$3:$A$8999,"&lt;="&amp;$A21))</f>
        <v/>
      </c>
      <c r="F21" s="81" t="str">
        <f t="shared" si="2"/>
        <v/>
      </c>
    </row>
    <row r="22" spans="1:6" x14ac:dyDescent="0.2">
      <c r="A22" s="82">
        <f t="shared" si="0"/>
        <v>46410</v>
      </c>
      <c r="B22" s="13" t="str" cm="1">
        <f t="array" ref="B22">IF(COUNTIFS('DATA INPUT'!$A$3:$A$8999,"&gt;="&amp;$A22-6,'DATA INPUT'!$A$3:$A$8999,"&lt;="&amp;$A22)=0,"",IFERROR(_xlfn.TEXTJOIN(", ",TRUE,_xlfn.UNIQUE(_xlfn._xlws.FILTER(TRIM('DATA INPUT'!$H$3:$H$8999),('DATA INPUT'!$A$3:$A$8999&gt;=$A22-6)*('DATA INPUT'!$A$3:$A$8999&lt;=$A22)*(TRIM('DATA INPUT'!$H$3:$H$8999)&lt;&gt;""),""))),""))</f>
        <v/>
      </c>
      <c r="C22" s="75" t="str">
        <f>IF(COUNTIFS('DATA INPUT'!$A$3:$A$8999,"&gt;="&amp;$A22-6,'DATA INPUT'!$A$3:$A$8999,"&lt;="&amp;$A22)=0,"",SUMIFS('DATA INPUT'!$L$3:$L$8999,'DATA INPUT'!$A$3:$A$8999,"&gt;="&amp;$A22-6,'DATA INPUT'!$A$3:$A$8999,"&lt;="&amp;$A22))</f>
        <v/>
      </c>
      <c r="D22" s="75" t="str">
        <f t="shared" si="1"/>
        <v/>
      </c>
      <c r="E22" s="75" t="str">
        <f>IF(COUNTIFS('DATA INPUT'!$A$3:$A$8999,"&gt;="&amp;$A22-6,'DATA INPUT'!$A$3:$A$8999,"&lt;="&amp;$A22)=0,"",SUMIFS('DATA INPUT'!$U$3:$U$8999,'DATA INPUT'!$A$3:$A$8999,"&gt;="&amp;$A22-6,'DATA INPUT'!$A$3:$A$8999,"&lt;="&amp;$A22))</f>
        <v/>
      </c>
      <c r="F22" s="81" t="str">
        <f t="shared" si="2"/>
        <v/>
      </c>
    </row>
    <row r="23" spans="1:6" x14ac:dyDescent="0.2">
      <c r="A23" s="82">
        <f t="shared" si="0"/>
        <v>46417</v>
      </c>
      <c r="B23" s="13" t="str" cm="1">
        <f t="array" ref="B23">IF(COUNTIFS('DATA INPUT'!$A$3:$A$8999,"&gt;="&amp;$A23-6,'DATA INPUT'!$A$3:$A$8999,"&lt;="&amp;$A23)=0,"",IFERROR(_xlfn.TEXTJOIN(", ",TRUE,_xlfn.UNIQUE(_xlfn._xlws.FILTER(TRIM('DATA INPUT'!$H$3:$H$8999),('DATA INPUT'!$A$3:$A$8999&gt;=$A23-6)*('DATA INPUT'!$A$3:$A$8999&lt;=$A23)*(TRIM('DATA INPUT'!$H$3:$H$8999)&lt;&gt;""),""))),""))</f>
        <v/>
      </c>
      <c r="C23" s="75" t="str">
        <f>IF(COUNTIFS('DATA INPUT'!$A$3:$A$8999,"&gt;="&amp;$A23-6,'DATA INPUT'!$A$3:$A$8999,"&lt;="&amp;$A23)=0,"",SUMIFS('DATA INPUT'!$L$3:$L$8999,'DATA INPUT'!$A$3:$A$8999,"&gt;="&amp;$A23-6,'DATA INPUT'!$A$3:$A$8999,"&lt;="&amp;$A23))</f>
        <v/>
      </c>
      <c r="D23" s="75" t="str">
        <f t="shared" si="1"/>
        <v/>
      </c>
      <c r="E23" s="75" t="str">
        <f>IF(COUNTIFS('DATA INPUT'!$A$3:$A$8999,"&gt;="&amp;$A23-6,'DATA INPUT'!$A$3:$A$8999,"&lt;="&amp;$A23)=0,"",SUMIFS('DATA INPUT'!$U$3:$U$8999,'DATA INPUT'!$A$3:$A$8999,"&gt;="&amp;$A23-6,'DATA INPUT'!$A$3:$A$8999,"&lt;="&amp;$A23))</f>
        <v/>
      </c>
      <c r="F23" s="81" t="str">
        <f t="shared" si="2"/>
        <v/>
      </c>
    </row>
    <row r="24" spans="1:6" x14ac:dyDescent="0.2">
      <c r="A24" s="82">
        <f t="shared" si="0"/>
        <v>46424</v>
      </c>
      <c r="B24" s="13" t="str" cm="1">
        <f t="array" ref="B24">IF(COUNTIFS('DATA INPUT'!$A$3:$A$8999,"&gt;="&amp;$A24-6,'DATA INPUT'!$A$3:$A$8999,"&lt;="&amp;$A24)=0,"",IFERROR(_xlfn.TEXTJOIN(", ",TRUE,_xlfn.UNIQUE(_xlfn._xlws.FILTER(TRIM('DATA INPUT'!$H$3:$H$8999),('DATA INPUT'!$A$3:$A$8999&gt;=$A24-6)*('DATA INPUT'!$A$3:$A$8999&lt;=$A24)*(TRIM('DATA INPUT'!$H$3:$H$8999)&lt;&gt;""),""))),""))</f>
        <v/>
      </c>
      <c r="C24" s="75" t="str">
        <f>IF(COUNTIFS('DATA INPUT'!$A$3:$A$8999,"&gt;="&amp;$A24-6,'DATA INPUT'!$A$3:$A$8999,"&lt;="&amp;$A24)=0,"",SUMIFS('DATA INPUT'!$L$3:$L$8999,'DATA INPUT'!$A$3:$A$8999,"&gt;="&amp;$A24-6,'DATA INPUT'!$A$3:$A$8999,"&lt;="&amp;$A24))</f>
        <v/>
      </c>
      <c r="D24" s="75" t="str">
        <f t="shared" si="1"/>
        <v/>
      </c>
      <c r="E24" s="75" t="str">
        <f>IF(COUNTIFS('DATA INPUT'!$A$3:$A$8999,"&gt;="&amp;$A24-6,'DATA INPUT'!$A$3:$A$8999,"&lt;="&amp;$A24)=0,"",SUMIFS('DATA INPUT'!$U$3:$U$8999,'DATA INPUT'!$A$3:$A$8999,"&gt;="&amp;$A24-6,'DATA INPUT'!$A$3:$A$8999,"&lt;="&amp;$A24))</f>
        <v/>
      </c>
      <c r="F24" s="81" t="str">
        <f t="shared" si="2"/>
        <v/>
      </c>
    </row>
    <row r="25" spans="1:6" x14ac:dyDescent="0.2">
      <c r="A25" s="82">
        <f t="shared" si="0"/>
        <v>46431</v>
      </c>
      <c r="B25" s="13" t="str" cm="1">
        <f t="array" ref="B25">IF(COUNTIFS('DATA INPUT'!$A$3:$A$8999,"&gt;="&amp;$A25-6,'DATA INPUT'!$A$3:$A$8999,"&lt;="&amp;$A25)=0,"",IFERROR(_xlfn.TEXTJOIN(", ",TRUE,_xlfn.UNIQUE(_xlfn._xlws.FILTER(TRIM('DATA INPUT'!$H$3:$H$8999),('DATA INPUT'!$A$3:$A$8999&gt;=$A25-6)*('DATA INPUT'!$A$3:$A$8999&lt;=$A25)*(TRIM('DATA INPUT'!$H$3:$H$8999)&lt;&gt;""),""))),""))</f>
        <v/>
      </c>
      <c r="C25" s="75" t="str">
        <f>IF(COUNTIFS('DATA INPUT'!$A$3:$A$8999,"&gt;="&amp;$A25-6,'DATA INPUT'!$A$3:$A$8999,"&lt;="&amp;$A25)=0,"",SUMIFS('DATA INPUT'!$L$3:$L$8999,'DATA INPUT'!$A$3:$A$8999,"&gt;="&amp;$A25-6,'DATA INPUT'!$A$3:$A$8999,"&lt;="&amp;$A25))</f>
        <v/>
      </c>
      <c r="D25" s="75" t="str">
        <f t="shared" si="1"/>
        <v/>
      </c>
      <c r="E25" s="75" t="str">
        <f>IF(COUNTIFS('DATA INPUT'!$A$3:$A$8999,"&gt;="&amp;$A25-6,'DATA INPUT'!$A$3:$A$8999,"&lt;="&amp;$A25)=0,"",SUMIFS('DATA INPUT'!$U$3:$U$8999,'DATA INPUT'!$A$3:$A$8999,"&gt;="&amp;$A25-6,'DATA INPUT'!$A$3:$A$8999,"&lt;="&amp;$A25))</f>
        <v/>
      </c>
      <c r="F25" s="81" t="str">
        <f t="shared" si="2"/>
        <v/>
      </c>
    </row>
    <row r="26" spans="1:6" x14ac:dyDescent="0.2">
      <c r="A26" s="82">
        <f t="shared" si="0"/>
        <v>46438</v>
      </c>
      <c r="B26" s="13" t="str" cm="1">
        <f t="array" ref="B26">IF(COUNTIFS('DATA INPUT'!$A$3:$A$8999,"&gt;="&amp;$A26-6,'DATA INPUT'!$A$3:$A$8999,"&lt;="&amp;$A26)=0,"",IFERROR(_xlfn.TEXTJOIN(", ",TRUE,_xlfn.UNIQUE(_xlfn._xlws.FILTER(TRIM('DATA INPUT'!$H$3:$H$8999),('DATA INPUT'!$A$3:$A$8999&gt;=$A26-6)*('DATA INPUT'!$A$3:$A$8999&lt;=$A26)*(TRIM('DATA INPUT'!$H$3:$H$8999)&lt;&gt;""),""))),""))</f>
        <v/>
      </c>
      <c r="C26" s="75" t="str">
        <f>IF(COUNTIFS('DATA INPUT'!$A$3:$A$8999,"&gt;="&amp;$A26-6,'DATA INPUT'!$A$3:$A$8999,"&lt;="&amp;$A26)=0,"",SUMIFS('DATA INPUT'!$L$3:$L$8999,'DATA INPUT'!$A$3:$A$8999,"&gt;="&amp;$A26-6,'DATA INPUT'!$A$3:$A$8999,"&lt;="&amp;$A26))</f>
        <v/>
      </c>
      <c r="D26" s="75" t="str">
        <f t="shared" si="1"/>
        <v/>
      </c>
      <c r="E26" s="75" t="str">
        <f>IF(COUNTIFS('DATA INPUT'!$A$3:$A$8999,"&gt;="&amp;$A26-6,'DATA INPUT'!$A$3:$A$8999,"&lt;="&amp;$A26)=0,"",SUMIFS('DATA INPUT'!$U$3:$U$8999,'DATA INPUT'!$A$3:$A$8999,"&gt;="&amp;$A26-6,'DATA INPUT'!$A$3:$A$8999,"&lt;="&amp;$A26))</f>
        <v/>
      </c>
      <c r="F26" s="81" t="str">
        <f t="shared" si="2"/>
        <v/>
      </c>
    </row>
    <row r="27" spans="1:6" x14ac:dyDescent="0.2">
      <c r="A27" s="82">
        <f t="shared" si="0"/>
        <v>46445</v>
      </c>
      <c r="B27" s="13" t="str" cm="1">
        <f t="array" ref="B27">IF(COUNTIFS('DATA INPUT'!$A$3:$A$8999,"&gt;="&amp;$A27-6,'DATA INPUT'!$A$3:$A$8999,"&lt;="&amp;$A27)=0,"",IFERROR(_xlfn.TEXTJOIN(", ",TRUE,_xlfn.UNIQUE(_xlfn._xlws.FILTER(TRIM('DATA INPUT'!$H$3:$H$8999),('DATA INPUT'!$A$3:$A$8999&gt;=$A27-6)*('DATA INPUT'!$A$3:$A$8999&lt;=$A27)*(TRIM('DATA INPUT'!$H$3:$H$8999)&lt;&gt;""),""))),""))</f>
        <v/>
      </c>
      <c r="C27" s="75" t="str">
        <f>IF(COUNTIFS('DATA INPUT'!$A$3:$A$8999,"&gt;="&amp;$A27-6,'DATA INPUT'!$A$3:$A$8999,"&lt;="&amp;$A27)=0,"",SUMIFS('DATA INPUT'!$L$3:$L$8999,'DATA INPUT'!$A$3:$A$8999,"&gt;="&amp;$A27-6,'DATA INPUT'!$A$3:$A$8999,"&lt;="&amp;$A27))</f>
        <v/>
      </c>
      <c r="D27" s="75" t="str">
        <f t="shared" si="1"/>
        <v/>
      </c>
      <c r="E27" s="75" t="str">
        <f>IF(COUNTIFS('DATA INPUT'!$A$3:$A$8999,"&gt;="&amp;$A27-6,'DATA INPUT'!$A$3:$A$8999,"&lt;="&amp;$A27)=0,"",SUMIFS('DATA INPUT'!$U$3:$U$8999,'DATA INPUT'!$A$3:$A$8999,"&gt;="&amp;$A27-6,'DATA INPUT'!$A$3:$A$8999,"&lt;="&amp;$A27))</f>
        <v/>
      </c>
      <c r="F27" s="81" t="str">
        <f t="shared" si="2"/>
        <v/>
      </c>
    </row>
    <row r="28" spans="1:6" x14ac:dyDescent="0.2">
      <c r="A28" s="82">
        <f t="shared" si="0"/>
        <v>46452</v>
      </c>
      <c r="B28" s="13" t="str" cm="1">
        <f t="array" ref="B28">IF(COUNTIFS('DATA INPUT'!$A$3:$A$8999,"&gt;="&amp;$A28-6,'DATA INPUT'!$A$3:$A$8999,"&lt;="&amp;$A28)=0,"",IFERROR(_xlfn.TEXTJOIN(", ",TRUE,_xlfn.UNIQUE(_xlfn._xlws.FILTER(TRIM('DATA INPUT'!$H$3:$H$8999),('DATA INPUT'!$A$3:$A$8999&gt;=$A28-6)*('DATA INPUT'!$A$3:$A$8999&lt;=$A28)*(TRIM('DATA INPUT'!$H$3:$H$8999)&lt;&gt;""),""))),""))</f>
        <v/>
      </c>
      <c r="C28" s="75" t="str">
        <f>IF(COUNTIFS('DATA INPUT'!$A$3:$A$8999,"&gt;="&amp;$A28-6,'DATA INPUT'!$A$3:$A$8999,"&lt;="&amp;$A28)=0,"",SUMIFS('DATA INPUT'!$L$3:$L$8999,'DATA INPUT'!$A$3:$A$8999,"&gt;="&amp;$A28-6,'DATA INPUT'!$A$3:$A$8999,"&lt;="&amp;$A28))</f>
        <v/>
      </c>
      <c r="D28" s="75" t="str">
        <f t="shared" si="1"/>
        <v/>
      </c>
      <c r="E28" s="75" t="str">
        <f>IF(COUNTIFS('DATA INPUT'!$A$3:$A$8999,"&gt;="&amp;$A28-6,'DATA INPUT'!$A$3:$A$8999,"&lt;="&amp;$A28)=0,"",SUMIFS('DATA INPUT'!$U$3:$U$8999,'DATA INPUT'!$A$3:$A$8999,"&gt;="&amp;$A28-6,'DATA INPUT'!$A$3:$A$8999,"&lt;="&amp;$A28))</f>
        <v/>
      </c>
      <c r="F28" s="81" t="str">
        <f t="shared" si="2"/>
        <v/>
      </c>
    </row>
    <row r="29" spans="1:6" x14ac:dyDescent="0.2">
      <c r="A29" s="82">
        <f t="shared" si="0"/>
        <v>46459</v>
      </c>
      <c r="B29" s="13" t="str" cm="1">
        <f t="array" ref="B29">IF(COUNTIFS('DATA INPUT'!$A$3:$A$8999,"&gt;="&amp;$A29-6,'DATA INPUT'!$A$3:$A$8999,"&lt;="&amp;$A29)=0,"",IFERROR(_xlfn.TEXTJOIN(", ",TRUE,_xlfn.UNIQUE(_xlfn._xlws.FILTER(TRIM('DATA INPUT'!$H$3:$H$8999),('DATA INPUT'!$A$3:$A$8999&gt;=$A29-6)*('DATA INPUT'!$A$3:$A$8999&lt;=$A29)*(TRIM('DATA INPUT'!$H$3:$H$8999)&lt;&gt;""),""))),""))</f>
        <v/>
      </c>
      <c r="C29" s="75" t="str">
        <f>IF(COUNTIFS('DATA INPUT'!$A$3:$A$8999,"&gt;="&amp;$A29-6,'DATA INPUT'!$A$3:$A$8999,"&lt;="&amp;$A29)=0,"",SUMIFS('DATA INPUT'!$L$3:$L$8999,'DATA INPUT'!$A$3:$A$8999,"&gt;="&amp;$A29-6,'DATA INPUT'!$A$3:$A$8999,"&lt;="&amp;$A29))</f>
        <v/>
      </c>
      <c r="D29" s="75" t="str">
        <f t="shared" si="1"/>
        <v/>
      </c>
      <c r="E29" s="75" t="str">
        <f>IF(COUNTIFS('DATA INPUT'!$A$3:$A$8999,"&gt;="&amp;$A29-6,'DATA INPUT'!$A$3:$A$8999,"&lt;="&amp;$A29)=0,"",SUMIFS('DATA INPUT'!$U$3:$U$8999,'DATA INPUT'!$A$3:$A$8999,"&gt;="&amp;$A29-6,'DATA INPUT'!$A$3:$A$8999,"&lt;="&amp;$A29))</f>
        <v/>
      </c>
      <c r="F29" s="81" t="str">
        <f t="shared" si="2"/>
        <v/>
      </c>
    </row>
    <row r="30" spans="1:6" x14ac:dyDescent="0.2">
      <c r="A30" s="82">
        <f t="shared" si="0"/>
        <v>46466</v>
      </c>
      <c r="B30" s="13" t="str" cm="1">
        <f t="array" ref="B30">IF(COUNTIFS('DATA INPUT'!$A$3:$A$8999,"&gt;="&amp;$A30-6,'DATA INPUT'!$A$3:$A$8999,"&lt;="&amp;$A30)=0,"",IFERROR(_xlfn.TEXTJOIN(", ",TRUE,_xlfn.UNIQUE(_xlfn._xlws.FILTER(TRIM('DATA INPUT'!$H$3:$H$8999),('DATA INPUT'!$A$3:$A$8999&gt;=$A30-6)*('DATA INPUT'!$A$3:$A$8999&lt;=$A30)*(TRIM('DATA INPUT'!$H$3:$H$8999)&lt;&gt;""),""))),""))</f>
        <v/>
      </c>
      <c r="C30" s="75" t="str">
        <f>IF(COUNTIFS('DATA INPUT'!$A$3:$A$8999,"&gt;="&amp;$A30-6,'DATA INPUT'!$A$3:$A$8999,"&lt;="&amp;$A30)=0,"",SUMIFS('DATA INPUT'!$L$3:$L$8999,'DATA INPUT'!$A$3:$A$8999,"&gt;="&amp;$A30-6,'DATA INPUT'!$A$3:$A$8999,"&lt;="&amp;$A30))</f>
        <v/>
      </c>
      <c r="D30" s="75" t="str">
        <f t="shared" si="1"/>
        <v/>
      </c>
      <c r="E30" s="75" t="str">
        <f>IF(COUNTIFS('DATA INPUT'!$A$3:$A$8999,"&gt;="&amp;$A30-6,'DATA INPUT'!$A$3:$A$8999,"&lt;="&amp;$A30)=0,"",SUMIFS('DATA INPUT'!$U$3:$U$8999,'DATA INPUT'!$A$3:$A$8999,"&gt;="&amp;$A30-6,'DATA INPUT'!$A$3:$A$8999,"&lt;="&amp;$A30))</f>
        <v/>
      </c>
      <c r="F30" s="81" t="str">
        <f t="shared" si="2"/>
        <v/>
      </c>
    </row>
    <row r="31" spans="1:6" x14ac:dyDescent="0.2">
      <c r="A31" s="82">
        <f t="shared" si="0"/>
        <v>46473</v>
      </c>
      <c r="B31" s="13" t="str" cm="1">
        <f t="array" ref="B31">IF(COUNTIFS('DATA INPUT'!$A$3:$A$8999,"&gt;="&amp;$A31-6,'DATA INPUT'!$A$3:$A$8999,"&lt;="&amp;$A31)=0,"",IFERROR(_xlfn.TEXTJOIN(", ",TRUE,_xlfn.UNIQUE(_xlfn._xlws.FILTER(TRIM('DATA INPUT'!$H$3:$H$8999),('DATA INPUT'!$A$3:$A$8999&gt;=$A31-6)*('DATA INPUT'!$A$3:$A$8999&lt;=$A31)*(TRIM('DATA INPUT'!$H$3:$H$8999)&lt;&gt;""),""))),""))</f>
        <v/>
      </c>
      <c r="C31" s="75" t="str">
        <f>IF(COUNTIFS('DATA INPUT'!$A$3:$A$8999,"&gt;="&amp;$A31-6,'DATA INPUT'!$A$3:$A$8999,"&lt;="&amp;$A31)=0,"",SUMIFS('DATA INPUT'!$L$3:$L$8999,'DATA INPUT'!$A$3:$A$8999,"&gt;="&amp;$A31-6,'DATA INPUT'!$A$3:$A$8999,"&lt;="&amp;$A31))</f>
        <v/>
      </c>
      <c r="D31" s="75" t="str">
        <f t="shared" si="1"/>
        <v/>
      </c>
      <c r="E31" s="75" t="str">
        <f>IF(COUNTIFS('DATA INPUT'!$A$3:$A$8999,"&gt;="&amp;$A31-6,'DATA INPUT'!$A$3:$A$8999,"&lt;="&amp;$A31)=0,"",SUMIFS('DATA INPUT'!$U$3:$U$8999,'DATA INPUT'!$A$3:$A$8999,"&gt;="&amp;$A31-6,'DATA INPUT'!$A$3:$A$8999,"&lt;="&amp;$A31))</f>
        <v/>
      </c>
      <c r="F31" s="81" t="str">
        <f t="shared" si="2"/>
        <v/>
      </c>
    </row>
    <row r="32" spans="1:6" x14ac:dyDescent="0.2">
      <c r="A32" s="82">
        <f t="shared" si="0"/>
        <v>46480</v>
      </c>
      <c r="B32" s="13" t="str" cm="1">
        <f t="array" ref="B32">IF(COUNTIFS('DATA INPUT'!$A$3:$A$8999,"&gt;="&amp;$A32-6,'DATA INPUT'!$A$3:$A$8999,"&lt;="&amp;$A32)=0,"",IFERROR(_xlfn.TEXTJOIN(", ",TRUE,_xlfn.UNIQUE(_xlfn._xlws.FILTER(TRIM('DATA INPUT'!$H$3:$H$8999),('DATA INPUT'!$A$3:$A$8999&gt;=$A32-6)*('DATA INPUT'!$A$3:$A$8999&lt;=$A32)*(TRIM('DATA INPUT'!$H$3:$H$8999)&lt;&gt;""),""))),""))</f>
        <v/>
      </c>
      <c r="C32" s="75" t="str">
        <f>IF(COUNTIFS('DATA INPUT'!$A$3:$A$8999,"&gt;="&amp;$A32-6,'DATA INPUT'!$A$3:$A$8999,"&lt;="&amp;$A32)=0,"",SUMIFS('DATA INPUT'!$L$3:$L$8999,'DATA INPUT'!$A$3:$A$8999,"&gt;="&amp;$A32-6,'DATA INPUT'!$A$3:$A$8999,"&lt;="&amp;$A32))</f>
        <v/>
      </c>
      <c r="D32" s="75" t="str">
        <f t="shared" si="1"/>
        <v/>
      </c>
      <c r="E32" s="75" t="str">
        <f>IF(COUNTIFS('DATA INPUT'!$A$3:$A$8999,"&gt;="&amp;$A32-6,'DATA INPUT'!$A$3:$A$8999,"&lt;="&amp;$A32)=0,"",SUMIFS('DATA INPUT'!$U$3:$U$8999,'DATA INPUT'!$A$3:$A$8999,"&gt;="&amp;$A32-6,'DATA INPUT'!$A$3:$A$8999,"&lt;="&amp;$A32))</f>
        <v/>
      </c>
      <c r="F32" s="81" t="str">
        <f t="shared" si="2"/>
        <v/>
      </c>
    </row>
    <row r="33" spans="1:6" x14ac:dyDescent="0.2">
      <c r="A33" s="82">
        <f t="shared" si="0"/>
        <v>46487</v>
      </c>
      <c r="B33" s="13" t="str" cm="1">
        <f t="array" ref="B33">IF(COUNTIFS('DATA INPUT'!$A$3:$A$8999,"&gt;="&amp;$A33-6,'DATA INPUT'!$A$3:$A$8999,"&lt;="&amp;$A33)=0,"",IFERROR(_xlfn.TEXTJOIN(", ",TRUE,_xlfn.UNIQUE(_xlfn._xlws.FILTER(TRIM('DATA INPUT'!$H$3:$H$8999),('DATA INPUT'!$A$3:$A$8999&gt;=$A33-6)*('DATA INPUT'!$A$3:$A$8999&lt;=$A33)*(TRIM('DATA INPUT'!$H$3:$H$8999)&lt;&gt;""),""))),""))</f>
        <v/>
      </c>
      <c r="C33" s="75" t="str">
        <f>IF(COUNTIFS('DATA INPUT'!$A$3:$A$8999,"&gt;="&amp;$A33-6,'DATA INPUT'!$A$3:$A$8999,"&lt;="&amp;$A33)=0,"",SUMIFS('DATA INPUT'!$L$3:$L$8999,'DATA INPUT'!$A$3:$A$8999,"&gt;="&amp;$A33-6,'DATA INPUT'!$A$3:$A$8999,"&lt;="&amp;$A33))</f>
        <v/>
      </c>
      <c r="D33" s="75" t="str">
        <f t="shared" si="1"/>
        <v/>
      </c>
      <c r="E33" s="75" t="str">
        <f>IF(COUNTIFS('DATA INPUT'!$A$3:$A$8999,"&gt;="&amp;$A33-6,'DATA INPUT'!$A$3:$A$8999,"&lt;="&amp;$A33)=0,"",SUMIFS('DATA INPUT'!$U$3:$U$8999,'DATA INPUT'!$A$3:$A$8999,"&gt;="&amp;$A33-6,'DATA INPUT'!$A$3:$A$8999,"&lt;="&amp;$A33))</f>
        <v/>
      </c>
      <c r="F33" s="81" t="str">
        <f t="shared" si="2"/>
        <v/>
      </c>
    </row>
    <row r="34" spans="1:6" x14ac:dyDescent="0.2">
      <c r="A34" s="82">
        <f t="shared" si="0"/>
        <v>46494</v>
      </c>
      <c r="B34" s="13" t="str" cm="1">
        <f t="array" ref="B34">IF(COUNTIFS('DATA INPUT'!$A$3:$A$8999,"&gt;="&amp;$A34-6,'DATA INPUT'!$A$3:$A$8999,"&lt;="&amp;$A34)=0,"",IFERROR(_xlfn.TEXTJOIN(", ",TRUE,_xlfn.UNIQUE(_xlfn._xlws.FILTER(TRIM('DATA INPUT'!$H$3:$H$8999),('DATA INPUT'!$A$3:$A$8999&gt;=$A34-6)*('DATA INPUT'!$A$3:$A$8999&lt;=$A34)*(TRIM('DATA INPUT'!$H$3:$H$8999)&lt;&gt;""),""))),""))</f>
        <v/>
      </c>
      <c r="C34" s="75" t="str">
        <f>IF(COUNTIFS('DATA INPUT'!$A$3:$A$8999,"&gt;="&amp;$A34-6,'DATA INPUT'!$A$3:$A$8999,"&lt;="&amp;$A34)=0,"",SUMIFS('DATA INPUT'!$L$3:$L$8999,'DATA INPUT'!$A$3:$A$8999,"&gt;="&amp;$A34-6,'DATA INPUT'!$A$3:$A$8999,"&lt;="&amp;$A34))</f>
        <v/>
      </c>
      <c r="D34" s="75" t="str">
        <f t="shared" si="1"/>
        <v/>
      </c>
      <c r="E34" s="75" t="str">
        <f>IF(COUNTIFS('DATA INPUT'!$A$3:$A$8999,"&gt;="&amp;$A34-6,'DATA INPUT'!$A$3:$A$8999,"&lt;="&amp;$A34)=0,"",SUMIFS('DATA INPUT'!$U$3:$U$8999,'DATA INPUT'!$A$3:$A$8999,"&gt;="&amp;$A34-6,'DATA INPUT'!$A$3:$A$8999,"&lt;="&amp;$A34))</f>
        <v/>
      </c>
      <c r="F34" s="81" t="str">
        <f t="shared" si="2"/>
        <v/>
      </c>
    </row>
    <row r="35" spans="1:6" x14ac:dyDescent="0.2">
      <c r="A35" s="82">
        <f t="shared" si="0"/>
        <v>46501</v>
      </c>
      <c r="B35" s="13" t="str" cm="1">
        <f t="array" ref="B35">IF(COUNTIFS('DATA INPUT'!$A$3:$A$8999,"&gt;="&amp;$A35-6,'DATA INPUT'!$A$3:$A$8999,"&lt;="&amp;$A35)=0,"",IFERROR(_xlfn.TEXTJOIN(", ",TRUE,_xlfn.UNIQUE(_xlfn._xlws.FILTER(TRIM('DATA INPUT'!$H$3:$H$8999),('DATA INPUT'!$A$3:$A$8999&gt;=$A35-6)*('DATA INPUT'!$A$3:$A$8999&lt;=$A35)*(TRIM('DATA INPUT'!$H$3:$H$8999)&lt;&gt;""),""))),""))</f>
        <v/>
      </c>
      <c r="C35" s="75" t="str">
        <f>IF(COUNTIFS('DATA INPUT'!$A$3:$A$8999,"&gt;="&amp;$A35-6,'DATA INPUT'!$A$3:$A$8999,"&lt;="&amp;$A35)=0,"",SUMIFS('DATA INPUT'!$L$3:$L$8999,'DATA INPUT'!$A$3:$A$8999,"&gt;="&amp;$A35-6,'DATA INPUT'!$A$3:$A$8999,"&lt;="&amp;$A35))</f>
        <v/>
      </c>
      <c r="D35" s="75" t="str">
        <f t="shared" si="1"/>
        <v/>
      </c>
      <c r="E35" s="75" t="str">
        <f>IF(COUNTIFS('DATA INPUT'!$A$3:$A$8999,"&gt;="&amp;$A35-6,'DATA INPUT'!$A$3:$A$8999,"&lt;="&amp;$A35)=0,"",SUMIFS('DATA INPUT'!$U$3:$U$8999,'DATA INPUT'!$A$3:$A$8999,"&gt;="&amp;$A35-6,'DATA INPUT'!$A$3:$A$8999,"&lt;="&amp;$A35))</f>
        <v/>
      </c>
      <c r="F35" s="81" t="str">
        <f t="shared" si="2"/>
        <v/>
      </c>
    </row>
    <row r="36" spans="1:6" x14ac:dyDescent="0.2">
      <c r="A36" s="82">
        <f t="shared" si="0"/>
        <v>46508</v>
      </c>
      <c r="B36" s="13" t="str" cm="1">
        <f t="array" ref="B36">IF(COUNTIFS('DATA INPUT'!$A$3:$A$8999,"&gt;="&amp;$A36-6,'DATA INPUT'!$A$3:$A$8999,"&lt;="&amp;$A36)=0,"",IFERROR(_xlfn.TEXTJOIN(", ",TRUE,_xlfn.UNIQUE(_xlfn._xlws.FILTER(TRIM('DATA INPUT'!$H$3:$H$8999),('DATA INPUT'!$A$3:$A$8999&gt;=$A36-6)*('DATA INPUT'!$A$3:$A$8999&lt;=$A36)*(TRIM('DATA INPUT'!$H$3:$H$8999)&lt;&gt;""),""))),""))</f>
        <v/>
      </c>
      <c r="C36" s="75" t="str">
        <f>IF(COUNTIFS('DATA INPUT'!$A$3:$A$8999,"&gt;="&amp;$A36-6,'DATA INPUT'!$A$3:$A$8999,"&lt;="&amp;$A36)=0,"",SUMIFS('DATA INPUT'!$L$3:$L$8999,'DATA INPUT'!$A$3:$A$8999,"&gt;="&amp;$A36-6,'DATA INPUT'!$A$3:$A$8999,"&lt;="&amp;$A36))</f>
        <v/>
      </c>
      <c r="D36" s="75" t="str">
        <f t="shared" si="1"/>
        <v/>
      </c>
      <c r="E36" s="75" t="str">
        <f>IF(COUNTIFS('DATA INPUT'!$A$3:$A$8999,"&gt;="&amp;$A36-6,'DATA INPUT'!$A$3:$A$8999,"&lt;="&amp;$A36)=0,"",SUMIFS('DATA INPUT'!$U$3:$U$8999,'DATA INPUT'!$A$3:$A$8999,"&gt;="&amp;$A36-6,'DATA INPUT'!$A$3:$A$8999,"&lt;="&amp;$A36))</f>
        <v/>
      </c>
      <c r="F36" s="81" t="str">
        <f t="shared" si="2"/>
        <v/>
      </c>
    </row>
    <row r="37" spans="1:6" x14ac:dyDescent="0.2">
      <c r="A37" s="82">
        <f t="shared" si="0"/>
        <v>46515</v>
      </c>
      <c r="B37" s="13" t="str" cm="1">
        <f t="array" ref="B37">IF(COUNTIFS('DATA INPUT'!$A$3:$A$8999,"&gt;="&amp;$A37-6,'DATA INPUT'!$A$3:$A$8999,"&lt;="&amp;$A37)=0,"",IFERROR(_xlfn.TEXTJOIN(", ",TRUE,_xlfn.UNIQUE(_xlfn._xlws.FILTER(TRIM('DATA INPUT'!$H$3:$H$8999),('DATA INPUT'!$A$3:$A$8999&gt;=$A37-6)*('DATA INPUT'!$A$3:$A$8999&lt;=$A37)*(TRIM('DATA INPUT'!$H$3:$H$8999)&lt;&gt;""),""))),""))</f>
        <v/>
      </c>
      <c r="C37" s="75" t="str">
        <f>IF(COUNTIFS('DATA INPUT'!$A$3:$A$8999,"&gt;="&amp;$A37-6,'DATA INPUT'!$A$3:$A$8999,"&lt;="&amp;$A37)=0,"",SUMIFS('DATA INPUT'!$L$3:$L$8999,'DATA INPUT'!$A$3:$A$8999,"&gt;="&amp;$A37-6,'DATA INPUT'!$A$3:$A$8999,"&lt;="&amp;$A37))</f>
        <v/>
      </c>
      <c r="D37" s="75" t="str">
        <f t="shared" si="1"/>
        <v/>
      </c>
      <c r="E37" s="75" t="str">
        <f>IF(COUNTIFS('DATA INPUT'!$A$3:$A$8999,"&gt;="&amp;$A37-6,'DATA INPUT'!$A$3:$A$8999,"&lt;="&amp;$A37)=0,"",SUMIFS('DATA INPUT'!$U$3:$U$8999,'DATA INPUT'!$A$3:$A$8999,"&gt;="&amp;$A37-6,'DATA INPUT'!$A$3:$A$8999,"&lt;="&amp;$A37))</f>
        <v/>
      </c>
      <c r="F37" s="81" t="str">
        <f t="shared" si="2"/>
        <v/>
      </c>
    </row>
    <row r="38" spans="1:6" x14ac:dyDescent="0.2">
      <c r="A38" s="82">
        <f t="shared" si="0"/>
        <v>46522</v>
      </c>
      <c r="B38" s="13" t="str" cm="1">
        <f t="array" ref="B38">IF(COUNTIFS('DATA INPUT'!$A$3:$A$8999,"&gt;="&amp;$A38-6,'DATA INPUT'!$A$3:$A$8999,"&lt;="&amp;$A38)=0,"",IFERROR(_xlfn.TEXTJOIN(", ",TRUE,_xlfn.UNIQUE(_xlfn._xlws.FILTER(TRIM('DATA INPUT'!$H$3:$H$8999),('DATA INPUT'!$A$3:$A$8999&gt;=$A38-6)*('DATA INPUT'!$A$3:$A$8999&lt;=$A38)*(TRIM('DATA INPUT'!$H$3:$H$8999)&lt;&gt;""),""))),""))</f>
        <v/>
      </c>
      <c r="C38" s="75" t="str">
        <f>IF(COUNTIFS('DATA INPUT'!$A$3:$A$8999,"&gt;="&amp;$A38-6,'DATA INPUT'!$A$3:$A$8999,"&lt;="&amp;$A38)=0,"",SUMIFS('DATA INPUT'!$L$3:$L$8999,'DATA INPUT'!$A$3:$A$8999,"&gt;="&amp;$A38-6,'DATA INPUT'!$A$3:$A$8999,"&lt;="&amp;$A38))</f>
        <v/>
      </c>
      <c r="D38" s="75" t="str">
        <f t="shared" si="1"/>
        <v/>
      </c>
      <c r="E38" s="75" t="str">
        <f>IF(COUNTIFS('DATA INPUT'!$A$3:$A$8999,"&gt;="&amp;$A38-6,'DATA INPUT'!$A$3:$A$8999,"&lt;="&amp;$A38)=0,"",SUMIFS('DATA INPUT'!$U$3:$U$8999,'DATA INPUT'!$A$3:$A$8999,"&gt;="&amp;$A38-6,'DATA INPUT'!$A$3:$A$8999,"&lt;="&amp;$A38))</f>
        <v/>
      </c>
      <c r="F38" s="81" t="str">
        <f t="shared" si="2"/>
        <v/>
      </c>
    </row>
    <row r="39" spans="1:6" x14ac:dyDescent="0.2">
      <c r="A39" s="82">
        <f t="shared" si="0"/>
        <v>46529</v>
      </c>
      <c r="B39" s="13" t="str" cm="1">
        <f t="array" ref="B39">IF(COUNTIFS('DATA INPUT'!$A$3:$A$8999,"&gt;="&amp;$A39-6,'DATA INPUT'!$A$3:$A$8999,"&lt;="&amp;$A39)=0,"",IFERROR(_xlfn.TEXTJOIN(", ",TRUE,_xlfn.UNIQUE(_xlfn._xlws.FILTER(TRIM('DATA INPUT'!$H$3:$H$8999),('DATA INPUT'!$A$3:$A$8999&gt;=$A39-6)*('DATA INPUT'!$A$3:$A$8999&lt;=$A39)*(TRIM('DATA INPUT'!$H$3:$H$8999)&lt;&gt;""),""))),""))</f>
        <v/>
      </c>
      <c r="C39" s="75" t="str">
        <f>IF(COUNTIFS('DATA INPUT'!$A$3:$A$8999,"&gt;="&amp;$A39-6,'DATA INPUT'!$A$3:$A$8999,"&lt;="&amp;$A39)=0,"",SUMIFS('DATA INPUT'!$L$3:$L$8999,'DATA INPUT'!$A$3:$A$8999,"&gt;="&amp;$A39-6,'DATA INPUT'!$A$3:$A$8999,"&lt;="&amp;$A39))</f>
        <v/>
      </c>
      <c r="D39" s="75" t="str">
        <f t="shared" si="1"/>
        <v/>
      </c>
      <c r="E39" s="75" t="str">
        <f>IF(COUNTIFS('DATA INPUT'!$A$3:$A$8999,"&gt;="&amp;$A39-6,'DATA INPUT'!$A$3:$A$8999,"&lt;="&amp;$A39)=0,"",SUMIFS('DATA INPUT'!$U$3:$U$8999,'DATA INPUT'!$A$3:$A$8999,"&gt;="&amp;$A39-6,'DATA INPUT'!$A$3:$A$8999,"&lt;="&amp;$A39))</f>
        <v/>
      </c>
      <c r="F39" s="81" t="str">
        <f t="shared" si="2"/>
        <v/>
      </c>
    </row>
    <row r="40" spans="1:6" x14ac:dyDescent="0.2">
      <c r="A40" s="82">
        <f t="shared" si="0"/>
        <v>46536</v>
      </c>
      <c r="B40" s="13" t="str" cm="1">
        <f t="array" ref="B40">IF(COUNTIFS('DATA INPUT'!$A$3:$A$8999,"&gt;="&amp;$A40-6,'DATA INPUT'!$A$3:$A$8999,"&lt;="&amp;$A40)=0,"",IFERROR(_xlfn.TEXTJOIN(", ",TRUE,_xlfn.UNIQUE(_xlfn._xlws.FILTER(TRIM('DATA INPUT'!$H$3:$H$8999),('DATA INPUT'!$A$3:$A$8999&gt;=$A40-6)*('DATA INPUT'!$A$3:$A$8999&lt;=$A40)*(TRIM('DATA INPUT'!$H$3:$H$8999)&lt;&gt;""),""))),""))</f>
        <v/>
      </c>
      <c r="C40" s="75" t="str">
        <f>IF(COUNTIFS('DATA INPUT'!$A$3:$A$8999,"&gt;="&amp;$A40-6,'DATA INPUT'!$A$3:$A$8999,"&lt;="&amp;$A40)=0,"",SUMIFS('DATA INPUT'!$L$3:$L$8999,'DATA INPUT'!$A$3:$A$8999,"&gt;="&amp;$A40-6,'DATA INPUT'!$A$3:$A$8999,"&lt;="&amp;$A40))</f>
        <v/>
      </c>
      <c r="D40" s="75" t="str">
        <f t="shared" si="1"/>
        <v/>
      </c>
      <c r="E40" s="75" t="str">
        <f>IF(COUNTIFS('DATA INPUT'!$A$3:$A$8999,"&gt;="&amp;$A40-6,'DATA INPUT'!$A$3:$A$8999,"&lt;="&amp;$A40)=0,"",SUMIFS('DATA INPUT'!$U$3:$U$8999,'DATA INPUT'!$A$3:$A$8999,"&gt;="&amp;$A40-6,'DATA INPUT'!$A$3:$A$8999,"&lt;="&amp;$A40))</f>
        <v/>
      </c>
      <c r="F40" s="81" t="str">
        <f t="shared" si="2"/>
        <v/>
      </c>
    </row>
    <row r="41" spans="1:6" x14ac:dyDescent="0.2">
      <c r="A41" s="82">
        <f t="shared" si="0"/>
        <v>46543</v>
      </c>
      <c r="B41" s="13" t="str" cm="1">
        <f t="array" ref="B41">IF(COUNTIFS('DATA INPUT'!$A$3:$A$8999,"&gt;="&amp;$A41-6,'DATA INPUT'!$A$3:$A$8999,"&lt;="&amp;$A41)=0,"",IFERROR(_xlfn.TEXTJOIN(", ",TRUE,_xlfn.UNIQUE(_xlfn._xlws.FILTER(TRIM('DATA INPUT'!$H$3:$H$8999),('DATA INPUT'!$A$3:$A$8999&gt;=$A41-6)*('DATA INPUT'!$A$3:$A$8999&lt;=$A41)*(TRIM('DATA INPUT'!$H$3:$H$8999)&lt;&gt;""),""))),""))</f>
        <v/>
      </c>
      <c r="C41" s="75" t="str">
        <f>IF(COUNTIFS('DATA INPUT'!$A$3:$A$8999,"&gt;="&amp;$A41-6,'DATA INPUT'!$A$3:$A$8999,"&lt;="&amp;$A41)=0,"",SUMIFS('DATA INPUT'!$L$3:$L$8999,'DATA INPUT'!$A$3:$A$8999,"&gt;="&amp;$A41-6,'DATA INPUT'!$A$3:$A$8999,"&lt;="&amp;$A41))</f>
        <v/>
      </c>
      <c r="D41" s="75" t="str">
        <f t="shared" si="1"/>
        <v/>
      </c>
      <c r="E41" s="75" t="str">
        <f>IF(COUNTIFS('DATA INPUT'!$A$3:$A$8999,"&gt;="&amp;$A41-6,'DATA INPUT'!$A$3:$A$8999,"&lt;="&amp;$A41)=0,"",SUMIFS('DATA INPUT'!$U$3:$U$8999,'DATA INPUT'!$A$3:$A$8999,"&gt;="&amp;$A41-6,'DATA INPUT'!$A$3:$A$8999,"&lt;="&amp;$A41))</f>
        <v/>
      </c>
      <c r="F41" s="81" t="str">
        <f t="shared" si="2"/>
        <v/>
      </c>
    </row>
    <row r="42" spans="1:6" x14ac:dyDescent="0.2">
      <c r="A42" s="82">
        <f t="shared" si="0"/>
        <v>46550</v>
      </c>
      <c r="B42" s="13" t="str" cm="1">
        <f t="array" ref="B42">IF(COUNTIFS('DATA INPUT'!$A$3:$A$8999,"&gt;="&amp;$A42-6,'DATA INPUT'!$A$3:$A$8999,"&lt;="&amp;$A42)=0,"",IFERROR(_xlfn.TEXTJOIN(", ",TRUE,_xlfn.UNIQUE(_xlfn._xlws.FILTER(TRIM('DATA INPUT'!$H$3:$H$8999),('DATA INPUT'!$A$3:$A$8999&gt;=$A42-6)*('DATA INPUT'!$A$3:$A$8999&lt;=$A42)*(TRIM('DATA INPUT'!$H$3:$H$8999)&lt;&gt;""),""))),""))</f>
        <v/>
      </c>
      <c r="C42" s="75" t="str">
        <f>IF(COUNTIFS('DATA INPUT'!$A$3:$A$8999,"&gt;="&amp;$A42-6,'DATA INPUT'!$A$3:$A$8999,"&lt;="&amp;$A42)=0,"",SUMIFS('DATA INPUT'!$L$3:$L$8999,'DATA INPUT'!$A$3:$A$8999,"&gt;="&amp;$A42-6,'DATA INPUT'!$A$3:$A$8999,"&lt;="&amp;$A42))</f>
        <v/>
      </c>
      <c r="D42" s="75" t="str">
        <f t="shared" si="1"/>
        <v/>
      </c>
      <c r="E42" s="75" t="str">
        <f>IF(COUNTIFS('DATA INPUT'!$A$3:$A$8999,"&gt;="&amp;$A42-6,'DATA INPUT'!$A$3:$A$8999,"&lt;="&amp;$A42)=0,"",SUMIFS('DATA INPUT'!$U$3:$U$8999,'DATA INPUT'!$A$3:$A$8999,"&gt;="&amp;$A42-6,'DATA INPUT'!$A$3:$A$8999,"&lt;="&amp;$A42))</f>
        <v/>
      </c>
      <c r="F42" s="81" t="str">
        <f t="shared" si="2"/>
        <v/>
      </c>
    </row>
    <row r="43" spans="1:6" x14ac:dyDescent="0.2">
      <c r="A43" s="82">
        <f t="shared" si="0"/>
        <v>46557</v>
      </c>
      <c r="B43" s="13" t="str" cm="1">
        <f t="array" ref="B43">IF(COUNTIFS('DATA INPUT'!$A$3:$A$8999,"&gt;="&amp;$A43-6,'DATA INPUT'!$A$3:$A$8999,"&lt;="&amp;$A43)=0,"",IFERROR(_xlfn.TEXTJOIN(", ",TRUE,_xlfn.UNIQUE(_xlfn._xlws.FILTER(TRIM('DATA INPUT'!$H$3:$H$8999),('DATA INPUT'!$A$3:$A$8999&gt;=$A43-6)*('DATA INPUT'!$A$3:$A$8999&lt;=$A43)*(TRIM('DATA INPUT'!$H$3:$H$8999)&lt;&gt;""),""))),""))</f>
        <v/>
      </c>
      <c r="C43" s="75" t="str">
        <f>IF(COUNTIFS('DATA INPUT'!$A$3:$A$8999,"&gt;="&amp;$A43-6,'DATA INPUT'!$A$3:$A$8999,"&lt;="&amp;$A43)=0,"",SUMIFS('DATA INPUT'!$L$3:$L$8999,'DATA INPUT'!$A$3:$A$8999,"&gt;="&amp;$A43-6,'DATA INPUT'!$A$3:$A$8999,"&lt;="&amp;$A43))</f>
        <v/>
      </c>
      <c r="D43" s="75" t="str">
        <f t="shared" si="1"/>
        <v/>
      </c>
      <c r="E43" s="75" t="str">
        <f>IF(COUNTIFS('DATA INPUT'!$A$3:$A$8999,"&gt;="&amp;$A43-6,'DATA INPUT'!$A$3:$A$8999,"&lt;="&amp;$A43)=0,"",SUMIFS('DATA INPUT'!$U$3:$U$8999,'DATA INPUT'!$A$3:$A$8999,"&gt;="&amp;$A43-6,'DATA INPUT'!$A$3:$A$8999,"&lt;="&amp;$A43))</f>
        <v/>
      </c>
      <c r="F43" s="81" t="str">
        <f t="shared" si="2"/>
        <v/>
      </c>
    </row>
    <row r="46" spans="1:6" s="88" customFormat="1" x14ac:dyDescent="0.2">
      <c r="A46" s="88" t="s">
        <v>70</v>
      </c>
      <c r="C46" s="89">
        <f>SUM(C2:C43)</f>
        <v>151</v>
      </c>
      <c r="D46" s="89">
        <f>SUM(D2:D43)</f>
        <v>153.93668</v>
      </c>
      <c r="E46" s="89">
        <f>SUM(E2:E43)</f>
        <v>2.9366800000000062</v>
      </c>
      <c r="F46" s="90">
        <f>IFERROR(E46/C46,0)</f>
        <v>1.9448211920529843E-2</v>
      </c>
    </row>
  </sheetData>
  <conditionalFormatting sqref="B2:E43">
    <cfRule type="cellIs" dxfId="0" priority="1"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DATA INPUT</vt:lpstr>
      <vt:lpstr>Sheet2</vt:lpstr>
      <vt:lpstr>Analysis</vt:lpstr>
      <vt:lpstr>Weekly Profit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Carmela BP</dc:creator>
  <cp:lastModifiedBy>Carmela BP</cp:lastModifiedBy>
  <dcterms:created xsi:type="dcterms:W3CDTF">2026-03-21T03:51:13Z</dcterms:created>
  <dcterms:modified xsi:type="dcterms:W3CDTF">2026-10-31T08:28:47Z</dcterms:modified>
</cp:coreProperties>
</file>